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2022\08.2022\"/>
    </mc:Choice>
  </mc:AlternateContent>
  <bookViews>
    <workbookView xWindow="0" yWindow="0" windowWidth="28800" windowHeight="11730" firstSheet="1" activeTab="1"/>
  </bookViews>
  <sheets>
    <sheet name="Sheet1" sheetId="1" state="hidden" r:id="rId1"/>
    <sheet name="Պարտավորություններ" sheetId="6" r:id="rId2"/>
    <sheet name="բյուջետային երաշխիք" sheetId="3" r:id="rId3"/>
  </sheets>
  <externalReferences>
    <externalReference r:id="rId4"/>
  </externalReferences>
  <definedNames>
    <definedName name="Table1" localSheetId="1">#REF!</definedName>
    <definedName name="Table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6" i="3"/>
  <c r="H141" i="6"/>
  <c r="G141" i="6"/>
  <c r="M140" i="6"/>
  <c r="M137" i="6"/>
  <c r="M136" i="6"/>
  <c r="L135" i="6"/>
  <c r="K135" i="6"/>
  <c r="J135" i="6"/>
  <c r="H135" i="6"/>
  <c r="G135" i="6"/>
  <c r="L134" i="6"/>
  <c r="K134" i="6"/>
  <c r="J134" i="6"/>
  <c r="H134" i="6"/>
  <c r="G134" i="6"/>
  <c r="L132" i="6"/>
  <c r="K132" i="6"/>
  <c r="J132" i="6"/>
  <c r="H132" i="6"/>
  <c r="G132" i="6"/>
  <c r="L131" i="6"/>
  <c r="M131" i="6" s="1"/>
  <c r="L130" i="6"/>
  <c r="M130" i="6" s="1"/>
  <c r="K130" i="6"/>
  <c r="L129" i="6"/>
  <c r="M129" i="6" s="1"/>
  <c r="K129" i="6"/>
  <c r="L128" i="6"/>
  <c r="M128" i="6" s="1"/>
  <c r="K128" i="6"/>
  <c r="L127" i="6"/>
  <c r="M127" i="6" s="1"/>
  <c r="K127" i="6"/>
  <c r="L126" i="6"/>
  <c r="M126" i="6" s="1"/>
  <c r="L125" i="6"/>
  <c r="M125" i="6" s="1"/>
  <c r="K125" i="6"/>
  <c r="K124" i="6"/>
  <c r="L124" i="6" s="1"/>
  <c r="M124" i="6" s="1"/>
  <c r="J124" i="6"/>
  <c r="K123" i="6"/>
  <c r="H123" i="6"/>
  <c r="L123" i="6" s="1"/>
  <c r="M123" i="6" s="1"/>
  <c r="L122" i="6"/>
  <c r="M122" i="6" s="1"/>
  <c r="K122" i="6"/>
  <c r="K121" i="6"/>
  <c r="H121" i="6"/>
  <c r="L121" i="6" s="1"/>
  <c r="M121" i="6" s="1"/>
  <c r="G121" i="6"/>
  <c r="K120" i="6"/>
  <c r="J120" i="6"/>
  <c r="L120" i="6" s="1"/>
  <c r="M120" i="6" s="1"/>
  <c r="L119" i="6"/>
  <c r="M119" i="6" s="1"/>
  <c r="K119" i="6"/>
  <c r="K118" i="6"/>
  <c r="H118" i="6"/>
  <c r="L118" i="6" s="1"/>
  <c r="M118" i="6" s="1"/>
  <c r="L117" i="6"/>
  <c r="M117" i="6" s="1"/>
  <c r="K117" i="6"/>
  <c r="L116" i="6"/>
  <c r="M116" i="6" s="1"/>
  <c r="K116" i="6"/>
  <c r="L115" i="6"/>
  <c r="M115" i="6" s="1"/>
  <c r="H114" i="6"/>
  <c r="G114" i="6"/>
  <c r="K113" i="6"/>
  <c r="J113" i="6"/>
  <c r="L113" i="6" s="1"/>
  <c r="M113" i="6" s="1"/>
  <c r="L112" i="6"/>
  <c r="M112" i="6" s="1"/>
  <c r="L111" i="6"/>
  <c r="M111" i="6" s="1"/>
  <c r="K111" i="6"/>
  <c r="L110" i="6"/>
  <c r="K110" i="6"/>
  <c r="J110" i="6"/>
  <c r="H110" i="6"/>
  <c r="G110" i="6"/>
  <c r="L109" i="6"/>
  <c r="K109" i="6"/>
  <c r="J109" i="6"/>
  <c r="H109" i="6"/>
  <c r="G109" i="6"/>
  <c r="L107" i="6"/>
  <c r="K107" i="6"/>
  <c r="J107" i="6"/>
  <c r="H107" i="6"/>
  <c r="G107" i="6"/>
  <c r="L106" i="6"/>
  <c r="M106" i="6" s="1"/>
  <c r="K106" i="6"/>
  <c r="L105" i="6"/>
  <c r="M105" i="6" s="1"/>
  <c r="K105" i="6"/>
  <c r="L104" i="6"/>
  <c r="M104" i="6" s="1"/>
  <c r="K104" i="6"/>
  <c r="L103" i="6"/>
  <c r="M103" i="6" s="1"/>
  <c r="J102" i="6"/>
  <c r="H102" i="6"/>
  <c r="G102" i="6"/>
  <c r="J101" i="6"/>
  <c r="G101" i="6"/>
  <c r="L100" i="6"/>
  <c r="K100" i="6"/>
  <c r="J100" i="6"/>
  <c r="H100" i="6"/>
  <c r="G100" i="6"/>
  <c r="H99" i="6"/>
  <c r="G99" i="6"/>
  <c r="J98" i="6"/>
  <c r="G98" i="6"/>
  <c r="H97" i="6"/>
  <c r="G97" i="6"/>
  <c r="L96" i="6"/>
  <c r="M96" i="6" s="1"/>
  <c r="K96" i="6"/>
  <c r="K98" i="6" s="1"/>
  <c r="L95" i="6"/>
  <c r="M95" i="6" s="1"/>
  <c r="K95" i="6"/>
  <c r="K99" i="6" s="1"/>
  <c r="L94" i="6"/>
  <c r="M94" i="6" s="1"/>
  <c r="L93" i="6"/>
  <c r="M93" i="6" s="1"/>
  <c r="L92" i="6"/>
  <c r="M92" i="6" s="1"/>
  <c r="M91" i="6"/>
  <c r="M90" i="6"/>
  <c r="M89" i="6"/>
  <c r="L88" i="6"/>
  <c r="M88" i="6" s="1"/>
  <c r="L87" i="6"/>
  <c r="M87" i="6" s="1"/>
  <c r="L86" i="6"/>
  <c r="M86" i="6" s="1"/>
  <c r="L85" i="6"/>
  <c r="M85" i="6" s="1"/>
  <c r="L84" i="6"/>
  <c r="M84" i="6" s="1"/>
  <c r="L83" i="6"/>
  <c r="M83" i="6" s="1"/>
  <c r="H82" i="6"/>
  <c r="L82" i="6" s="1"/>
  <c r="M82" i="6" s="1"/>
  <c r="L81" i="6"/>
  <c r="M81" i="6" s="1"/>
  <c r="L80" i="6"/>
  <c r="M80" i="6" s="1"/>
  <c r="L79" i="6"/>
  <c r="M79" i="6" s="1"/>
  <c r="L78" i="6"/>
  <c r="M78" i="6" s="1"/>
  <c r="L77" i="6"/>
  <c r="M77" i="6" s="1"/>
  <c r="H76" i="6"/>
  <c r="L75" i="6"/>
  <c r="M75" i="6" s="1"/>
  <c r="L74" i="6"/>
  <c r="M74" i="6" s="1"/>
  <c r="K73" i="6"/>
  <c r="K97" i="6" s="1"/>
  <c r="J73" i="6"/>
  <c r="L73" i="6" s="1"/>
  <c r="J72" i="6"/>
  <c r="L72" i="6" s="1"/>
  <c r="L71" i="6"/>
  <c r="K71" i="6"/>
  <c r="J71" i="6"/>
  <c r="H71" i="6"/>
  <c r="G71" i="6"/>
  <c r="H70" i="6"/>
  <c r="G70" i="6"/>
  <c r="K69" i="6"/>
  <c r="H69" i="6"/>
  <c r="G69" i="6"/>
  <c r="H68" i="6"/>
  <c r="G68" i="6"/>
  <c r="L67" i="6"/>
  <c r="M67" i="6" s="1"/>
  <c r="L66" i="6"/>
  <c r="M66" i="6" s="1"/>
  <c r="L65" i="6"/>
  <c r="M65" i="6" s="1"/>
  <c r="K64" i="6"/>
  <c r="K70" i="6" s="1"/>
  <c r="J64" i="6"/>
  <c r="K63" i="6"/>
  <c r="K68" i="6" s="1"/>
  <c r="J63" i="6"/>
  <c r="L63" i="6" s="1"/>
  <c r="L62" i="6"/>
  <c r="M62" i="6" s="1"/>
  <c r="J61" i="6"/>
  <c r="L61" i="6" s="1"/>
  <c r="L60" i="6"/>
  <c r="K60" i="6"/>
  <c r="J60" i="6"/>
  <c r="H60" i="6"/>
  <c r="G60" i="6"/>
  <c r="L59" i="6"/>
  <c r="K59" i="6"/>
  <c r="J59" i="6"/>
  <c r="H59" i="6"/>
  <c r="G59" i="6"/>
  <c r="K58" i="6"/>
  <c r="J58" i="6"/>
  <c r="H58" i="6"/>
  <c r="G58" i="6"/>
  <c r="K57" i="6"/>
  <c r="J57" i="6"/>
  <c r="H57" i="6"/>
  <c r="G57" i="6"/>
  <c r="L56" i="6"/>
  <c r="L58" i="6" s="1"/>
  <c r="L55" i="6"/>
  <c r="M55" i="6" s="1"/>
  <c r="L54" i="6"/>
  <c r="M54" i="6" s="1"/>
  <c r="L53" i="6"/>
  <c r="M53" i="6" s="1"/>
  <c r="L52" i="6"/>
  <c r="M52" i="6" s="1"/>
  <c r="K51" i="6"/>
  <c r="J51" i="6"/>
  <c r="H51" i="6"/>
  <c r="H139" i="6" s="1"/>
  <c r="G51" i="6"/>
  <c r="K49" i="6"/>
  <c r="H49" i="6"/>
  <c r="G49" i="6"/>
  <c r="G48" i="6"/>
  <c r="G47" i="6"/>
  <c r="L46" i="6"/>
  <c r="M46" i="6" s="1"/>
  <c r="L45" i="6"/>
  <c r="M45" i="6" s="1"/>
  <c r="H44" i="6"/>
  <c r="L44" i="6" s="1"/>
  <c r="M44" i="6" s="1"/>
  <c r="L43" i="6"/>
  <c r="M43" i="6" s="1"/>
  <c r="L42" i="6"/>
  <c r="M42" i="6" s="1"/>
  <c r="L41" i="6"/>
  <c r="M41" i="6" s="1"/>
  <c r="K41" i="6"/>
  <c r="K40" i="6"/>
  <c r="J40" i="6"/>
  <c r="L40" i="6" s="1"/>
  <c r="M40" i="6" s="1"/>
  <c r="J39" i="6"/>
  <c r="L39" i="6" s="1"/>
  <c r="M39" i="6" s="1"/>
  <c r="J38" i="6"/>
  <c r="L38" i="6" s="1"/>
  <c r="M38" i="6" s="1"/>
  <c r="L37" i="6"/>
  <c r="M37" i="6" s="1"/>
  <c r="L36" i="6"/>
  <c r="M36" i="6" s="1"/>
  <c r="J35" i="6"/>
  <c r="L35" i="6" s="1"/>
  <c r="M35" i="6" s="1"/>
  <c r="J34" i="6"/>
  <c r="L34" i="6" s="1"/>
  <c r="M34" i="6" s="1"/>
  <c r="L33" i="6"/>
  <c r="M33" i="6" s="1"/>
  <c r="L32" i="6"/>
  <c r="M32" i="6" s="1"/>
  <c r="L31" i="6"/>
  <c r="M31" i="6" s="1"/>
  <c r="L30" i="6"/>
  <c r="M30" i="6" s="1"/>
  <c r="L29" i="6"/>
  <c r="K28" i="6"/>
  <c r="J28" i="6"/>
  <c r="L28" i="6" s="1"/>
  <c r="M28" i="6" s="1"/>
  <c r="K27" i="6"/>
  <c r="J27" i="6"/>
  <c r="L26" i="6"/>
  <c r="M26" i="6" s="1"/>
  <c r="L25" i="6"/>
  <c r="M25" i="6" s="1"/>
  <c r="J24" i="6"/>
  <c r="J23" i="6"/>
  <c r="J49" i="6" s="1"/>
  <c r="H22" i="6"/>
  <c r="L22" i="6" s="1"/>
  <c r="M22" i="6" s="1"/>
  <c r="H21" i="6"/>
  <c r="G21" i="6"/>
  <c r="L20" i="6"/>
  <c r="M20" i="6" s="1"/>
  <c r="L19" i="6"/>
  <c r="M19" i="6" s="1"/>
  <c r="L18" i="6"/>
  <c r="M18" i="6" s="1"/>
  <c r="L17" i="6"/>
  <c r="M17" i="6" s="1"/>
  <c r="G17" i="6"/>
  <c r="L16" i="6"/>
  <c r="M16" i="6" s="1"/>
  <c r="L15" i="6"/>
  <c r="M15" i="6" s="1"/>
  <c r="G15" i="6"/>
  <c r="L14" i="6"/>
  <c r="M14" i="6" s="1"/>
  <c r="L13" i="6"/>
  <c r="M13" i="6" s="1"/>
  <c r="K13" i="6"/>
  <c r="L12" i="6"/>
  <c r="M12" i="6" s="1"/>
  <c r="L11" i="6"/>
  <c r="M11" i="6" s="1"/>
  <c r="L10" i="6"/>
  <c r="M9" i="6"/>
  <c r="K9" i="6"/>
  <c r="H9" i="6"/>
  <c r="L8" i="6"/>
  <c r="M8" i="6" s="1"/>
  <c r="K8" i="6"/>
  <c r="K7" i="6"/>
  <c r="J7" i="6"/>
  <c r="L7" i="6" s="1"/>
  <c r="M7" i="6" s="1"/>
  <c r="K6" i="6"/>
  <c r="J6" i="6"/>
  <c r="L6" i="6" s="1"/>
  <c r="M6" i="6" s="1"/>
  <c r="K5" i="6"/>
  <c r="J5" i="6"/>
  <c r="H5" i="6"/>
  <c r="J48" i="6" l="1"/>
  <c r="L23" i="6"/>
  <c r="L49" i="6" s="1"/>
  <c r="K50" i="6"/>
  <c r="L51" i="6"/>
  <c r="L140" i="6" s="1"/>
  <c r="H133" i="6"/>
  <c r="K138" i="6"/>
  <c r="L24" i="6"/>
  <c r="M24" i="6" s="1"/>
  <c r="K48" i="6"/>
  <c r="G136" i="6"/>
  <c r="G140" i="6" s="1"/>
  <c r="G108" i="6"/>
  <c r="J108" i="6"/>
  <c r="L57" i="6"/>
  <c r="J47" i="6"/>
  <c r="K47" i="6"/>
  <c r="K136" i="6" s="1"/>
  <c r="K140" i="6" s="1"/>
  <c r="M29" i="6"/>
  <c r="G139" i="6"/>
  <c r="K139" i="6"/>
  <c r="L97" i="6"/>
  <c r="L114" i="6"/>
  <c r="M114" i="6" s="1"/>
  <c r="M134" i="6" s="1"/>
  <c r="K108" i="6"/>
  <c r="J139" i="6"/>
  <c r="M56" i="6"/>
  <c r="M59" i="6" s="1"/>
  <c r="J99" i="6"/>
  <c r="L101" i="6"/>
  <c r="M101" i="6" s="1"/>
  <c r="G133" i="6"/>
  <c r="J133" i="6"/>
  <c r="L141" i="6"/>
  <c r="M141" i="6" s="1"/>
  <c r="L48" i="6"/>
  <c r="M63" i="6"/>
  <c r="L68" i="6"/>
  <c r="J68" i="6"/>
  <c r="M10" i="6"/>
  <c r="H50" i="6"/>
  <c r="H138" i="6" s="1"/>
  <c r="L21" i="6"/>
  <c r="J50" i="6"/>
  <c r="L27" i="6"/>
  <c r="M27" i="6" s="1"/>
  <c r="J69" i="6"/>
  <c r="L76" i="6"/>
  <c r="H98" i="6"/>
  <c r="K133" i="6"/>
  <c r="K137" i="6" s="1"/>
  <c r="H140" i="6"/>
  <c r="H48" i="6"/>
  <c r="G50" i="6"/>
  <c r="G138" i="6" s="1"/>
  <c r="L69" i="6"/>
  <c r="M61" i="6"/>
  <c r="M72" i="6"/>
  <c r="L99" i="6"/>
  <c r="M73" i="6"/>
  <c r="H108" i="6"/>
  <c r="L102" i="6"/>
  <c r="M102" i="6" s="1"/>
  <c r="L5" i="6"/>
  <c r="H47" i="6"/>
  <c r="H136" i="6" s="1"/>
  <c r="J70" i="6"/>
  <c r="L64" i="6"/>
  <c r="J97" i="6"/>
  <c r="M109" i="6" l="1"/>
  <c r="L139" i="6"/>
  <c r="J136" i="6"/>
  <c r="J140" i="6" s="1"/>
  <c r="M23" i="6"/>
  <c r="G137" i="6"/>
  <c r="L133" i="6"/>
  <c r="J137" i="6"/>
  <c r="J138" i="6"/>
  <c r="M76" i="6"/>
  <c r="M99" i="6" s="1"/>
  <c r="L98" i="6"/>
  <c r="L47" i="6"/>
  <c r="L136" i="6" s="1"/>
  <c r="M5" i="6"/>
  <c r="H137" i="6"/>
  <c r="L108" i="6"/>
  <c r="M21" i="6"/>
  <c r="L50" i="6"/>
  <c r="L70" i="6"/>
  <c r="M64" i="6"/>
  <c r="M70" i="6" s="1"/>
  <c r="L137" i="6" l="1"/>
  <c r="L138" i="6"/>
  <c r="M50" i="6"/>
  <c r="M138" i="6" s="1"/>
  <c r="E7" i="3" l="1"/>
  <c r="E9" i="3"/>
  <c r="E10" i="3"/>
  <c r="E11" i="3"/>
  <c r="E12" i="3"/>
  <c r="E13" i="3"/>
  <c r="E14" i="3"/>
  <c r="E15" i="3"/>
  <c r="E16" i="3" l="1"/>
  <c r="D16" i="3" l="1"/>
  <c r="F2" i="1" l="1"/>
  <c r="F3" i="1"/>
</calcChain>
</file>

<file path=xl/comments1.xml><?xml version="1.0" encoding="utf-8"?>
<comments xmlns="http://schemas.openxmlformats.org/spreadsheetml/2006/main">
  <authors>
    <author>Lusine Grigoryan</author>
  </authors>
  <commentList>
    <comment ref="H150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բյուջեից տրամադրված վարկերի մնացորդ</t>
        </r>
      </text>
    </comment>
  </commentList>
</comments>
</file>

<file path=xl/sharedStrings.xml><?xml version="1.0" encoding="utf-8"?>
<sst xmlns="http://schemas.openxmlformats.org/spreadsheetml/2006/main" count="665" uniqueCount="333">
  <si>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</si>
  <si>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</si>
  <si>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</si>
  <si>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</si>
  <si>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</si>
  <si>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</si>
  <si>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</si>
  <si>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</si>
  <si>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</si>
  <si>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</si>
  <si>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</si>
  <si>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</si>
  <si>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</si>
  <si>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</si>
  <si>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</si>
  <si>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</si>
  <si>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</si>
  <si>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</si>
  <si>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</si>
  <si>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</si>
  <si>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</si>
  <si>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</si>
  <si>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</si>
  <si>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</si>
  <si>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</si>
  <si>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</si>
  <si>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</si>
  <si>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</si>
  <si>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</si>
  <si>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</si>
  <si>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</si>
  <si>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</si>
  <si>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</si>
  <si>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</si>
  <si>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</si>
  <si>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</si>
  <si>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</si>
  <si>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</si>
  <si>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</si>
  <si>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</si>
  <si>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</si>
  <si>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</si>
  <si>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</si>
  <si>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</si>
  <si>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</si>
  <si>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</si>
  <si>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</si>
  <si>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</si>
  <si>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</si>
  <si>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</si>
  <si>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</si>
  <si>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</si>
  <si>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</si>
  <si>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</si>
  <si>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</si>
  <si>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</si>
  <si>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</si>
  <si>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</si>
  <si>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</si>
  <si>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</si>
  <si>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</si>
  <si>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</si>
  <si>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</si>
  <si>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</si>
  <si>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</si>
  <si>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</si>
  <si>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</si>
  <si>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</si>
  <si>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</si>
  <si>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</si>
  <si>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</si>
  <si>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</si>
  <si>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</si>
  <si>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</si>
  <si>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</si>
  <si>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</si>
  <si>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</si>
  <si>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</si>
  <si>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</si>
  <si>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</si>
  <si>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</si>
  <si>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</si>
  <si>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</si>
  <si>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</si>
  <si>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</si>
  <si>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</si>
  <si>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</si>
  <si>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</si>
  <si>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</si>
  <si>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</si>
  <si>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</si>
  <si>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</si>
  <si>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</si>
  <si>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</si>
  <si>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</si>
  <si>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</si>
  <si>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</si>
  <si>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</si>
  <si>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</si>
  <si>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</si>
  <si>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</si>
  <si>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</si>
  <si>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</si>
  <si>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</si>
  <si>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</si>
  <si>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</si>
  <si>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</si>
  <si>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</si>
  <si>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</si>
  <si>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</si>
  <si>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</si>
  <si>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</si>
  <si>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</si>
  <si>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</si>
  <si>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</si>
  <si>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</si>
  <si>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</si>
  <si>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</si>
  <si>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</si>
  <si>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</si>
  <si>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</si>
  <si>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</si>
  <si>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</si>
  <si>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</si>
  <si>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</si>
  <si>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</si>
  <si>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</si>
  <si>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</si>
  <si>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</si>
  <si>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</si>
  <si>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</si>
  <si>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</si>
  <si>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</si>
  <si>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</si>
  <si>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</si>
  <si>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</si>
  <si>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</si>
  <si>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</si>
  <si>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</si>
  <si>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</si>
  <si>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</si>
  <si>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</si>
  <si>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</si>
  <si>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</si>
  <si>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</si>
  <si>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</si>
  <si>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</si>
  <si>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</si>
  <si>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</si>
  <si>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</si>
  <si>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</si>
  <si>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</si>
  <si>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</si>
  <si>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</si>
  <si>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</si>
  <si>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</si>
  <si>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</si>
  <si>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</si>
  <si>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</si>
  <si>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</si>
  <si>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</si>
  <si>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</si>
  <si>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</si>
  <si>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</si>
  <si>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</si>
  <si>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</si>
  <si>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</si>
  <si>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</si>
  <si>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</si>
  <si>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</si>
  <si>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</si>
  <si>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</si>
  <si>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</si>
  <si>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</si>
  <si>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</si>
  <si>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</si>
  <si>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</si>
  <si>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</si>
  <si>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</si>
  <si>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</si>
  <si>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</si>
  <si>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</si>
  <si>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</si>
  <si>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</si>
  <si>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</si>
  <si>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</si>
  <si>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</si>
  <si>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</si>
  <si>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</si>
  <si>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</si>
  <si>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</si>
  <si>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</si>
  <si>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</si>
  <si>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</si>
  <si>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</si>
  <si>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</si>
  <si>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</si>
  <si>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</si>
  <si>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</si>
  <si>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</si>
  <si>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</si>
  <si>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</si>
  <si>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</si>
  <si>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</si>
  <si>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</si>
  <si>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</si>
  <si>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</si>
  <si>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</si>
  <si>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</si>
  <si>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</si>
  <si>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</si>
  <si>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</si>
  <si>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</si>
  <si>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</si>
  <si>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</si>
  <si>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</si>
  <si>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</si>
  <si>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</si>
  <si>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</si>
  <si>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</si>
  <si>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</si>
  <si>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</si>
  <si>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</si>
  <si>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</si>
  <si>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</si>
  <si>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</si>
  <si>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</si>
  <si>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</si>
  <si>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</si>
  <si>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</si>
  <si>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</si>
  <si>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</si>
  <si>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</si>
  <si>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</si>
  <si>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</si>
  <si>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</si>
  <si>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</si>
  <si>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</si>
  <si>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</si>
  <si>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</si>
  <si>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</si>
  <si>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</si>
  <si>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</si>
  <si>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</si>
  <si>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</si>
  <si>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</si>
  <si>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</si>
  <si>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</si>
  <si>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</si>
  <si>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</si>
  <si>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</si>
  <si>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</si>
  <si>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</si>
  <si>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</si>
  <si>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</si>
  <si>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</si>
  <si>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</si>
  <si>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</si>
  <si>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</si>
  <si>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</si>
  <si>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</si>
  <si>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</si>
  <si>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</si>
  <si>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</si>
  <si>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</si>
  <si>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</si>
  <si>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</si>
  <si>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</si>
  <si>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</si>
  <si>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</si>
  <si>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</si>
  <si>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</si>
  <si>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</si>
  <si>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</si>
  <si>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</si>
  <si>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</si>
  <si>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</si>
  <si>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</si>
  <si>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</si>
  <si>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</si>
  <si>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</si>
  <si>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</si>
  <si>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</si>
  <si>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</si>
  <si>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</si>
  <si>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</si>
  <si>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</si>
  <si>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</si>
  <si>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</si>
  <si>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</si>
  <si>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11.10.2022թ.</t>
  </si>
  <si>
    <t>«Պռոշյանի կոնյակի գործարան» ՍՊԸ</t>
  </si>
  <si>
    <t>«ՀԱՅԷԿՈՆՈՄԲԱՆԿ» ԲԲԸ</t>
  </si>
  <si>
    <t>15.10.2023թ.</t>
  </si>
  <si>
    <t xml:space="preserve"> «Վիլ Ֆուդ» ՍՊԸ</t>
  </si>
  <si>
    <t>22.10.2022թ.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</si>
  <si>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</si>
  <si>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</si>
  <si>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</si>
  <si>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</si>
  <si>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</si>
  <si>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</si>
  <si>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</si>
  <si>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</si>
  <si>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</si>
  <si>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</si>
  <si>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</si>
  <si>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</si>
  <si>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</si>
  <si>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</si>
  <si>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</si>
  <si>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</si>
  <si>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</si>
  <si>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</si>
  <si>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</si>
  <si>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</si>
  <si>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</si>
  <si>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</si>
  <si>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</si>
  <si>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</si>
  <si>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</si>
  <si>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</si>
  <si>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58/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</si>
  <si>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31.08.2022թ. դրությամբ 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</si>
  <si>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</si>
  <si>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</si>
  <si>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</si>
  <si>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</si>
  <si>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</si>
  <si>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</si>
  <si>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</si>
  <si>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</si>
  <si>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31.08.22թ.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</si>
</sst>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43" fontId="20" fillId="0" borderId="0" applyFont="0" applyFill="0" applyBorder="0" applyAlignment="0" applyProtection="0"/>
  </cellStyleXfs>
  <cellXfs count="25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165" fontId="14" fillId="0" borderId="2" xfId="2" applyNumberFormat="1" applyFont="1" applyBorder="1" applyAlignment="1">
      <alignment horizontal="center" vertical="center" wrapText="1"/>
    </xf>
    <xf numFmtId="165" fontId="14" fillId="0" borderId="2" xfId="5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1" applyFont="1" applyFill="1" applyAlignment="1" applyProtection="1">
      <alignment horizontal="center"/>
      <protection locked="0"/>
    </xf>
    <xf numFmtId="43" fontId="2" fillId="0" borderId="0" xfId="2" applyFont="1" applyFill="1" applyProtection="1">
      <protection locked="0"/>
    </xf>
    <xf numFmtId="0" fontId="2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1" fontId="2" fillId="0" borderId="0" xfId="1" applyNumberFormat="1" applyFont="1" applyFill="1" applyAlignment="1" applyProtection="1">
      <alignment horizontal="center"/>
      <protection locked="0"/>
    </xf>
    <xf numFmtId="10" fontId="2" fillId="0" borderId="0" xfId="6" applyNumberFormat="1" applyFont="1" applyFill="1" applyAlignment="1" applyProtection="1">
      <alignment horizontal="centerContinuous"/>
      <protection locked="0"/>
    </xf>
    <xf numFmtId="165" fontId="2" fillId="0" borderId="0" xfId="4" applyNumberFormat="1" applyFont="1" applyFill="1" applyAlignment="1" applyProtection="1">
      <alignment horizontal="centerContinuous"/>
      <protection locked="0"/>
    </xf>
    <xf numFmtId="0" fontId="7" fillId="0" borderId="23" xfId="1" applyFont="1" applyFill="1" applyBorder="1" applyAlignment="1" applyProtection="1">
      <alignment horizontal="center" vertical="center" wrapText="1"/>
      <protection locked="0"/>
    </xf>
    <xf numFmtId="0" fontId="7" fillId="0" borderId="24" xfId="1" applyFont="1" applyFill="1" applyBorder="1" applyAlignment="1" applyProtection="1">
      <alignment horizontal="center" vertical="center" wrapText="1"/>
      <protection locked="0"/>
    </xf>
    <xf numFmtId="10" fontId="7" fillId="0" borderId="24" xfId="6" applyNumberFormat="1" applyFont="1" applyFill="1" applyBorder="1" applyAlignment="1" applyProtection="1">
      <alignment horizontal="center" vertical="center" wrapText="1"/>
      <protection locked="0"/>
    </xf>
    <xf numFmtId="165" fontId="7" fillId="0" borderId="24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1" applyFont="1" applyFill="1" applyBorder="1" applyAlignment="1" applyProtection="1">
      <alignment horizontal="center" vertical="center" wrapText="1"/>
      <protection locked="0"/>
    </xf>
    <xf numFmtId="43" fontId="7" fillId="0" borderId="0" xfId="2" applyFont="1" applyFill="1" applyAlignment="1" applyProtection="1">
      <protection locked="0"/>
    </xf>
    <xf numFmtId="0" fontId="7" fillId="0" borderId="0" xfId="1" applyFont="1" applyFill="1" applyAlignment="1" applyProtection="1">
      <protection locked="0"/>
    </xf>
    <xf numFmtId="1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2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0" xfId="1" applyNumberFormat="1" applyFont="1" applyFill="1" applyBorder="1" applyAlignment="1" applyProtection="1">
      <alignment horizontal="center" vertical="center"/>
      <protection locked="0"/>
    </xf>
    <xf numFmtId="2" fontId="7" fillId="0" borderId="20" xfId="1" applyNumberFormat="1" applyFont="1" applyFill="1" applyBorder="1" applyAlignment="1" applyProtection="1">
      <alignment vertical="center"/>
      <protection locked="0"/>
    </xf>
    <xf numFmtId="165" fontId="7" fillId="0" borderId="15" xfId="4" applyNumberFormat="1" applyFont="1" applyFill="1" applyBorder="1" applyAlignment="1" applyProtection="1">
      <alignment vertical="center"/>
      <protection locked="0"/>
    </xf>
    <xf numFmtId="165" fontId="7" fillId="0" borderId="20" xfId="4" applyNumberFormat="1" applyFont="1" applyFill="1" applyBorder="1" applyAlignment="1" applyProtection="1">
      <alignment vertical="center"/>
      <protection locked="0"/>
    </xf>
    <xf numFmtId="43" fontId="2" fillId="0" borderId="0" xfId="2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1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vertical="center"/>
      <protection locked="0"/>
    </xf>
    <xf numFmtId="165" fontId="7" fillId="0" borderId="2" xfId="4" applyNumberFormat="1" applyFont="1" applyFill="1" applyBorder="1" applyAlignment="1" applyProtection="1">
      <alignment vertical="center"/>
      <protection locked="0"/>
    </xf>
    <xf numFmtId="1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1" applyNumberFormat="1" applyFont="1" applyFill="1" applyBorder="1" applyAlignment="1" applyProtection="1">
      <alignment horizontal="center" vertical="center"/>
      <protection locked="0"/>
    </xf>
    <xf numFmtId="2" fontId="7" fillId="0" borderId="11" xfId="1" applyNumberFormat="1" applyFont="1" applyFill="1" applyBorder="1" applyAlignment="1" applyProtection="1">
      <alignment vertical="center"/>
      <protection locked="0"/>
    </xf>
    <xf numFmtId="165" fontId="7" fillId="0" borderId="11" xfId="4" applyNumberFormat="1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2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>
      <alignment horizontal="center" vertical="center" wrapText="1"/>
    </xf>
    <xf numFmtId="165" fontId="2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165" fontId="2" fillId="0" borderId="2" xfId="4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165" fontId="10" fillId="0" borderId="3" xfId="4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2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10" fontId="10" fillId="0" borderId="2" xfId="6" applyNumberFormat="1" applyFont="1" applyFill="1" applyBorder="1" applyAlignment="1" applyProtection="1">
      <alignment horizontal="center" vertical="center" wrapText="1"/>
      <protection locked="0"/>
    </xf>
    <xf numFmtId="43" fontId="10" fillId="0" borderId="0" xfId="2" applyFont="1" applyFill="1" applyProtection="1">
      <protection locked="0"/>
    </xf>
    <xf numFmtId="0" fontId="10" fillId="0" borderId="0" xfId="1" applyFont="1" applyFill="1" applyProtection="1"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65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2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2" applyNumberFormat="1" applyFont="1" applyFill="1" applyBorder="1" applyAlignment="1" applyProtection="1">
      <alignment horizontal="left" vertical="center" wrapText="1"/>
      <protection locked="0"/>
    </xf>
    <xf numFmtId="167" fontId="2" fillId="0" borderId="2" xfId="8" applyNumberFormat="1" applyFont="1" applyFill="1" applyBorder="1" applyAlignment="1" applyProtection="1">
      <alignment horizontal="center" vertical="center" wrapText="1"/>
      <protection locked="0"/>
    </xf>
    <xf numFmtId="43" fontId="11" fillId="0" borderId="0" xfId="2" applyFont="1" applyFill="1" applyProtection="1">
      <protection locked="0"/>
    </xf>
    <xf numFmtId="0" fontId="11" fillId="0" borderId="0" xfId="1" applyFont="1" applyFill="1" applyProtection="1">
      <protection locked="0"/>
    </xf>
    <xf numFmtId="0" fontId="2" fillId="0" borderId="28" xfId="1" applyFont="1" applyFill="1" applyBorder="1" applyAlignment="1" applyProtection="1">
      <alignment horizontal="center" vertical="center" wrapText="1"/>
      <protection locked="0"/>
    </xf>
    <xf numFmtId="1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2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67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5" fontId="2" fillId="0" borderId="1" xfId="2" applyNumberFormat="1" applyFont="1" applyFill="1" applyBorder="1" applyAlignment="1" applyProtection="1">
      <alignment horizontal="left" vertical="center" wrapText="1"/>
      <protection locked="0"/>
    </xf>
    <xf numFmtId="167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165" fontId="2" fillId="0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2" fontId="7" fillId="0" borderId="21" xfId="1" applyNumberFormat="1" applyFont="1" applyFill="1" applyBorder="1" applyAlignment="1" applyProtection="1">
      <alignment horizontal="center" vertical="center"/>
      <protection locked="0"/>
    </xf>
    <xf numFmtId="2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165" fontId="7" fillId="0" borderId="3" xfId="4" applyNumberFormat="1" applyFont="1" applyFill="1" applyBorder="1" applyAlignment="1" applyProtection="1">
      <alignment vertical="center"/>
      <protection locked="0"/>
    </xf>
    <xf numFmtId="2" fontId="7" fillId="0" borderId="17" xfId="1" applyNumberFormat="1" applyFont="1" applyFill="1" applyBorder="1" applyAlignment="1" applyProtection="1">
      <alignment horizontal="center" vertical="center"/>
      <protection locked="0"/>
    </xf>
    <xf numFmtId="2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18" xfId="1" applyNumberFormat="1" applyFont="1" applyFill="1" applyBorder="1" applyAlignment="1" applyProtection="1">
      <alignment horizontal="center" vertical="center"/>
      <protection locked="0"/>
    </xf>
    <xf numFmtId="2" fontId="7" fillId="0" borderId="14" xfId="1" applyNumberFormat="1" applyFont="1" applyFill="1" applyBorder="1" applyAlignment="1" applyProtection="1">
      <alignment horizontal="center" vertical="center"/>
      <protection locked="0"/>
    </xf>
    <xf numFmtId="43" fontId="11" fillId="0" borderId="0" xfId="9" applyFont="1" applyFill="1" applyProtection="1">
      <protection locked="0"/>
    </xf>
    <xf numFmtId="1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9" xfId="1" applyNumberFormat="1" applyFont="1" applyFill="1" applyBorder="1" applyAlignment="1" applyProtection="1">
      <alignment horizontal="center" vertical="center"/>
      <protection locked="0"/>
    </xf>
    <xf numFmtId="2" fontId="7" fillId="0" borderId="3" xfId="1" applyNumberFormat="1" applyFont="1" applyFill="1" applyBorder="1" applyAlignment="1" applyProtection="1">
      <alignment horizontal="center" vertical="center"/>
      <protection locked="0"/>
    </xf>
    <xf numFmtId="2" fontId="7" fillId="0" borderId="3" xfId="1" applyNumberFormat="1" applyFont="1" applyFill="1" applyBorder="1" applyAlignment="1" applyProtection="1">
      <alignment vertical="center"/>
      <protection locked="0"/>
    </xf>
    <xf numFmtId="1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25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Fill="1" applyBorder="1" applyAlignment="1" applyProtection="1">
      <alignment vertical="center"/>
      <protection locked="0"/>
    </xf>
    <xf numFmtId="165" fontId="7" fillId="0" borderId="1" xfId="4" applyNumberFormat="1" applyFont="1" applyFill="1" applyBorder="1" applyAlignment="1" applyProtection="1">
      <alignment vertical="center"/>
      <protection locked="0"/>
    </xf>
    <xf numFmtId="165" fontId="7" fillId="0" borderId="16" xfId="4" applyNumberFormat="1" applyFont="1" applyFill="1" applyBorder="1" applyAlignment="1" applyProtection="1">
      <alignment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165" fontId="7" fillId="0" borderId="0" xfId="4" applyNumberFormat="1" applyFont="1" applyFill="1" applyBorder="1" applyAlignment="1" applyProtection="1">
      <alignment vertical="center"/>
      <protection locked="0"/>
    </xf>
    <xf numFmtId="1" fontId="12" fillId="0" borderId="0" xfId="1" applyNumberFormat="1" applyFont="1" applyFill="1" applyAlignment="1" applyProtection="1">
      <alignment horizontal="center"/>
      <protection locked="0"/>
    </xf>
    <xf numFmtId="0" fontId="12" fillId="0" borderId="0" xfId="1" applyFont="1" applyFill="1" applyProtection="1"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43" fontId="2" fillId="0" borderId="0" xfId="1" applyNumberFormat="1" applyFont="1" applyFill="1" applyProtection="1">
      <protection locked="0"/>
    </xf>
    <xf numFmtId="10" fontId="2" fillId="0" borderId="0" xfId="6" applyNumberFormat="1" applyFont="1" applyFill="1" applyProtection="1">
      <protection locked="0"/>
    </xf>
    <xf numFmtId="165" fontId="2" fillId="0" borderId="0" xfId="1" applyNumberFormat="1" applyFont="1" applyFill="1"/>
    <xf numFmtId="165" fontId="2" fillId="0" borderId="0" xfId="4" applyNumberFormat="1" applyFont="1" applyFill="1"/>
    <xf numFmtId="0" fontId="2" fillId="0" borderId="0" xfId="1" applyFont="1" applyFill="1" applyAlignment="1" applyProtection="1">
      <alignment horizontal="center"/>
      <protection locked="0"/>
    </xf>
    <xf numFmtId="165" fontId="2" fillId="0" borderId="0" xfId="6" applyNumberFormat="1" applyFont="1" applyFill="1" applyProtection="1">
      <protection locked="0"/>
    </xf>
    <xf numFmtId="43" fontId="2" fillId="0" borderId="0" xfId="4" applyNumberFormat="1" applyFont="1" applyFill="1"/>
    <xf numFmtId="43" fontId="2" fillId="0" borderId="0" xfId="11" applyNumberFormat="1" applyFont="1" applyFill="1"/>
    <xf numFmtId="165" fontId="2" fillId="0" borderId="0" xfId="9" applyNumberFormat="1" applyFont="1" applyFill="1" applyAlignment="1" applyProtection="1">
      <protection locked="0"/>
    </xf>
    <xf numFmtId="2" fontId="12" fillId="0" borderId="0" xfId="1" applyNumberFormat="1" applyFont="1" applyFill="1" applyProtection="1">
      <protection locked="0"/>
    </xf>
    <xf numFmtId="169" fontId="2" fillId="0" borderId="0" xfId="11" applyNumberFormat="1" applyFont="1" applyFill="1"/>
    <xf numFmtId="165" fontId="2" fillId="0" borderId="0" xfId="9" applyNumberFormat="1" applyFont="1" applyFill="1" applyProtection="1">
      <protection locked="0"/>
    </xf>
    <xf numFmtId="165" fontId="2" fillId="0" borderId="0" xfId="4" applyNumberFormat="1" applyFont="1" applyFill="1" applyProtection="1">
      <protection locked="0"/>
    </xf>
    <xf numFmtId="0" fontId="2" fillId="0" borderId="0" xfId="11" applyFont="1" applyFill="1"/>
    <xf numFmtId="0" fontId="8" fillId="0" borderId="0" xfId="1" applyFont="1" applyFill="1" applyProtection="1">
      <protection locked="0"/>
    </xf>
    <xf numFmtId="169" fontId="2" fillId="0" borderId="0" xfId="1" applyNumberFormat="1" applyFont="1" applyFill="1" applyProtection="1">
      <protection locked="0"/>
    </xf>
    <xf numFmtId="0" fontId="19" fillId="0" borderId="0" xfId="0" applyFont="1"/>
    <xf numFmtId="0" fontId="19" fillId="0" borderId="0" xfId="0" applyFont="1" applyBorder="1"/>
    <xf numFmtId="2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vertical="center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1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vertical="center" wrapText="1"/>
      <protection locked="0"/>
    </xf>
    <xf numFmtId="2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4" applyNumberFormat="1" applyFont="1" applyFill="1" applyBorder="1" applyAlignment="1" applyProtection="1">
      <alignment horizontal="center" vertical="center" wrapText="1"/>
      <protection locked="0"/>
    </xf>
    <xf numFmtId="10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4" applyNumberFormat="1" applyFont="1" applyFill="1" applyBorder="1" applyAlignment="1" applyProtection="1">
      <alignment vertical="center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2" fillId="0" borderId="16" xfId="6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4" applyNumberFormat="1" applyFont="1" applyFill="1" applyBorder="1" applyAlignment="1" applyProtection="1">
      <alignment vertical="center" wrapText="1"/>
      <protection locked="0"/>
    </xf>
    <xf numFmtId="165" fontId="2" fillId="0" borderId="3" xfId="4" applyNumberFormat="1" applyFont="1" applyFill="1" applyBorder="1" applyAlignment="1" applyProtection="1">
      <alignment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2" xfId="4" applyFont="1" applyFill="1" applyBorder="1" applyAlignment="1" applyProtection="1">
      <alignment horizontal="center" vertical="center" wrapText="1"/>
      <protection locked="0"/>
    </xf>
    <xf numFmtId="165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4" applyNumberFormat="1" applyFont="1" applyFill="1" applyBorder="1" applyAlignment="1" applyProtection="1">
      <alignment horizontal="center" vertical="center"/>
      <protection locked="0"/>
    </xf>
    <xf numFmtId="10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168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4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165" fontId="2" fillId="0" borderId="16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/>
      <protection locked="0"/>
    </xf>
    <xf numFmtId="165" fontId="2" fillId="0" borderId="16" xfId="4" applyNumberFormat="1" applyFont="1" applyFill="1" applyBorder="1" applyAlignment="1" applyProtection="1">
      <alignment vertical="center" wrapText="1"/>
      <protection locked="0"/>
    </xf>
    <xf numFmtId="165" fontId="7" fillId="0" borderId="32" xfId="4" applyNumberFormat="1" applyFont="1" applyFill="1" applyBorder="1" applyAlignment="1" applyProtection="1">
      <alignment vertical="center"/>
      <protection locked="0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1" fontId="2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1" applyFont="1" applyFill="1" applyBorder="1" applyAlignment="1" applyProtection="1">
      <alignment horizontal="center" vertical="center" wrapText="1"/>
      <protection locked="0"/>
    </xf>
    <xf numFmtId="9" fontId="2" fillId="0" borderId="2" xfId="8" applyFont="1" applyFill="1" applyBorder="1" applyAlignment="1" applyProtection="1">
      <alignment horizontal="center" vertical="center" wrapText="1"/>
      <protection locked="0"/>
    </xf>
    <xf numFmtId="168" fontId="2" fillId="0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4" applyNumberFormat="1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167" fontId="2" fillId="0" borderId="16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11" applyFill="1" applyBorder="1" applyAlignment="1">
      <alignment horizontal="center" vertical="center" wrapText="1"/>
    </xf>
    <xf numFmtId="165" fontId="2" fillId="0" borderId="11" xfId="4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2" applyNumberFormat="1" applyFont="1" applyFill="1" applyBorder="1" applyAlignment="1" applyProtection="1">
      <alignment horizontal="left" vertical="center" wrapText="1"/>
      <protection locked="0"/>
    </xf>
    <xf numFmtId="10" fontId="2" fillId="0" borderId="16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1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1" applyFont="1" applyFill="1" applyBorder="1" applyAlignment="1" applyProtection="1">
      <alignment horizontal="center" vertical="center" wrapText="1"/>
      <protection locked="0"/>
    </xf>
    <xf numFmtId="165" fontId="2" fillId="0" borderId="24" xfId="4" applyNumberFormat="1" applyFont="1" applyFill="1" applyBorder="1" applyAlignment="1" applyProtection="1">
      <alignment horizontal="center" vertical="center" wrapText="1"/>
      <protection locked="0"/>
    </xf>
    <xf numFmtId="165" fontId="2" fillId="0" borderId="24" xfId="3" applyNumberFormat="1" applyFont="1" applyFill="1" applyBorder="1" applyAlignment="1" applyProtection="1">
      <alignment horizontal="center" vertical="center" wrapText="1"/>
      <protection locked="0"/>
    </xf>
    <xf numFmtId="168" fontId="2" fillId="0" borderId="24" xfId="8" applyNumberFormat="1" applyFont="1" applyFill="1" applyBorder="1" applyAlignment="1" applyProtection="1">
      <alignment horizontal="center" vertical="center" wrapText="1"/>
      <protection locked="0"/>
    </xf>
    <xf numFmtId="165" fontId="2" fillId="0" borderId="31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6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/>
    <xf numFmtId="0" fontId="2" fillId="0" borderId="34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Fill="1" applyBorder="1" applyAlignment="1" applyProtection="1">
      <alignment horizontal="center" vertical="center" wrapText="1"/>
      <protection locked="0"/>
    </xf>
    <xf numFmtId="0" fontId="2" fillId="0" borderId="34" xfId="1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Fill="1" applyBorder="1" applyAlignment="1" applyProtection="1">
      <alignment horizontal="center" vertical="center" wrapText="1"/>
      <protection locked="0"/>
    </xf>
    <xf numFmtId="165" fontId="7" fillId="0" borderId="26" xfId="4" applyNumberFormat="1" applyFont="1" applyFill="1" applyBorder="1" applyAlignment="1" applyProtection="1">
      <alignment vertical="center"/>
      <protection locked="0"/>
    </xf>
    <xf numFmtId="165" fontId="7" fillId="0" borderId="8" xfId="4" applyNumberFormat="1" applyFont="1" applyFill="1" applyBorder="1" applyAlignment="1" applyProtection="1">
      <alignment vertical="center"/>
      <protection locked="0"/>
    </xf>
    <xf numFmtId="165" fontId="7" fillId="0" borderId="35" xfId="4" applyNumberFormat="1" applyFont="1" applyFill="1" applyBorder="1" applyAlignment="1" applyProtection="1">
      <alignment vertical="center"/>
      <protection locked="0"/>
    </xf>
    <xf numFmtId="0" fontId="2" fillId="0" borderId="36" xfId="1" applyFont="1" applyFill="1" applyBorder="1" applyAlignment="1" applyProtection="1">
      <alignment horizontal="center" vertical="center" wrapText="1"/>
      <protection locked="0"/>
    </xf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1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1" applyNumberFormat="1" applyFon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34" xfId="4" applyNumberFormat="1" applyFont="1" applyFill="1" applyBorder="1" applyAlignment="1" applyProtection="1">
      <alignment vertical="center"/>
      <protection locked="0"/>
    </xf>
    <xf numFmtId="165" fontId="7" fillId="0" borderId="25" xfId="4" applyNumberFormat="1" applyFont="1" applyFill="1" applyBorder="1" applyAlignment="1" applyProtection="1">
      <alignment vertical="center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</cellXfs>
  <cellStyles count="13">
    <cellStyle name="Comma" xfId="5" builtinId="3"/>
    <cellStyle name="Comma 10" xfId="12"/>
    <cellStyle name="Comma 2 2 2" xfId="2"/>
    <cellStyle name="Comma 4 2" xfId="3"/>
    <cellStyle name="Comma 7 2 2" xfId="4"/>
    <cellStyle name="Normal" xfId="0" builtinId="0"/>
    <cellStyle name="Normal 14 2" xfId="1"/>
    <cellStyle name="Normal 2" xfId="10"/>
    <cellStyle name="Normal 3" xfId="1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tion/229/Ashxatanqain/&#1355;&#1377;&#1398;&#1403;&#1400;&#1410;&#1394;&#1377;&#1382;&#1397;&#1377;&#1398;%20&#1415;%20&#1334;&#1377;&#1408;&#1379;&#1377;&#1408;&#1397;&#1377;&#1398;/Janjughazjan2022/08.31.22/&#1358;&#1377;&#1408;&#1391;&#1377;&#1397;&#1387;&#1398;%20&#1402;&#1400;&#1408;&#1407;&#1414;&#1381;&#1388;_31.0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ունվար"/>
      <sheetName val="փետրվար"/>
      <sheetName val="մարտ"/>
      <sheetName val="մայիս"/>
      <sheetName val="ապրիլ"/>
      <sheetName val="հունիս"/>
      <sheetName val="հուլիս"/>
      <sheetName val="օգոստո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8" t="s">
        <v>16</v>
      </c>
      <c r="B1" s="18"/>
      <c r="C1" s="18"/>
      <c r="D1" s="18"/>
      <c r="E1" s="18"/>
      <c r="F1" s="18"/>
      <c r="G1" s="18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6" t="s">
        <v>0</v>
      </c>
      <c r="B5" s="16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7"/>
      <c r="B6" s="17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17" sqref="K117"/>
    </sheetView>
  </sheetViews>
  <sheetFormatPr defaultRowHeight="13.5" outlineLevelRow="1" x14ac:dyDescent="0.25"/>
  <cols>
    <col min="1" max="1" width="6.85546875" style="24" customWidth="1"/>
    <col min="2" max="2" width="23.7109375" style="27" customWidth="1"/>
    <col min="3" max="3" width="23.42578125" style="24" customWidth="1"/>
    <col min="4" max="4" width="16.140625" style="24" customWidth="1"/>
    <col min="5" max="5" width="20.140625" style="24" customWidth="1"/>
    <col min="6" max="6" width="16.42578125" style="24" bestFit="1" customWidth="1"/>
    <col min="7" max="7" width="19.7109375" style="24" customWidth="1"/>
    <col min="8" max="8" width="20.28515625" style="24" customWidth="1"/>
    <col min="9" max="9" width="21.7109375" style="145" customWidth="1"/>
    <col min="10" max="10" width="18.5703125" style="24" customWidth="1"/>
    <col min="11" max="11" width="17.7109375" style="24" bestFit="1" customWidth="1"/>
    <col min="12" max="12" width="21.5703125" style="24" customWidth="1"/>
    <col min="13" max="13" width="25.28515625" style="156" customWidth="1"/>
    <col min="14" max="14" width="26.42578125" style="24" customWidth="1"/>
    <col min="15" max="15" width="23.5703125" style="23" customWidth="1"/>
    <col min="16" max="16" width="16.5703125" style="23" bestFit="1" customWidth="1"/>
    <col min="17" max="17" width="21.85546875" style="24" customWidth="1"/>
    <col min="18" max="16384" width="9.140625" style="24"/>
  </cols>
  <sheetData>
    <row r="1" spans="1:17" ht="22.5" x14ac:dyDescent="0.4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ht="49.5" customHeight="1" x14ac:dyDescent="0.4">
      <c r="A2" s="25" t="s">
        <v>323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 ht="14.25" thickBot="1" x14ac:dyDescent="0.3">
      <c r="A3" s="26"/>
      <c r="C3" s="26"/>
      <c r="D3" s="26"/>
      <c r="E3" s="26"/>
      <c r="F3" s="26"/>
      <c r="G3" s="26"/>
      <c r="H3" s="26"/>
      <c r="I3" s="28"/>
      <c r="J3" s="26"/>
      <c r="K3" s="26"/>
      <c r="L3" s="26"/>
      <c r="M3" s="29"/>
      <c r="N3" s="26"/>
    </row>
    <row r="4" spans="1:17" s="36" customFormat="1" ht="114" customHeight="1" thickBot="1" x14ac:dyDescent="0.3">
      <c r="A4" s="30" t="s">
        <v>20</v>
      </c>
      <c r="B4" s="31" t="s">
        <v>21</v>
      </c>
      <c r="C4" s="31" t="s">
        <v>22</v>
      </c>
      <c r="D4" s="31" t="s">
        <v>23</v>
      </c>
      <c r="E4" s="31" t="s">
        <v>324</v>
      </c>
      <c r="F4" s="31" t="s">
        <v>24</v>
      </c>
      <c r="G4" s="31" t="s">
        <v>25</v>
      </c>
      <c r="H4" s="31" t="s">
        <v>26</v>
      </c>
      <c r="I4" s="32" t="s">
        <v>27</v>
      </c>
      <c r="J4" s="31" t="s">
        <v>28</v>
      </c>
      <c r="K4" s="31" t="s">
        <v>29</v>
      </c>
      <c r="L4" s="31" t="s">
        <v>30</v>
      </c>
      <c r="M4" s="33" t="s">
        <v>31</v>
      </c>
      <c r="N4" s="34" t="s">
        <v>32</v>
      </c>
      <c r="O4" s="35"/>
      <c r="P4" s="35"/>
    </row>
    <row r="5" spans="1:17" ht="60" customHeight="1" outlineLevel="1" x14ac:dyDescent="0.25">
      <c r="A5" s="83">
        <v>1</v>
      </c>
      <c r="B5" s="165" t="s">
        <v>33</v>
      </c>
      <c r="C5" s="166" t="s">
        <v>34</v>
      </c>
      <c r="D5" s="102" t="s">
        <v>35</v>
      </c>
      <c r="E5" s="58" t="s">
        <v>36</v>
      </c>
      <c r="F5" s="167" t="s">
        <v>37</v>
      </c>
      <c r="G5" s="60">
        <v>7300000</v>
      </c>
      <c r="H5" s="65">
        <f>5822389.5+13412.1+4470.7+716451.75+24588.85+716451.75+2235.35</f>
        <v>7299999.9999999991</v>
      </c>
      <c r="I5" s="168" t="s">
        <v>38</v>
      </c>
      <c r="J5" s="65">
        <f>595000+119000+119000</f>
        <v>833000</v>
      </c>
      <c r="K5" s="65">
        <f>533233.16+25143.75+24697.5</f>
        <v>583074.41</v>
      </c>
      <c r="L5" s="60">
        <f t="shared" ref="L5:L33" si="0">H5-J5</f>
        <v>6466999.9999999991</v>
      </c>
      <c r="M5" s="60">
        <f>IF(F5=$B$144,L5,IF(F5=$B$146,L5*$C$146/$C$144,IF(F5=$B$145,L5*$C$145/$C$144,IF(F5=$B$143,L5/$C$144))))</f>
        <v>6488409.145934727</v>
      </c>
      <c r="N5" s="229" t="s">
        <v>39</v>
      </c>
      <c r="Q5" s="23"/>
    </row>
    <row r="6" spans="1:17" ht="75.75" customHeight="1" outlineLevel="1" x14ac:dyDescent="0.25">
      <c r="A6" s="169"/>
      <c r="B6" s="86"/>
      <c r="C6" s="170" t="s">
        <v>40</v>
      </c>
      <c r="D6" s="171"/>
      <c r="E6" s="87" t="s">
        <v>41</v>
      </c>
      <c r="F6" s="68" t="s">
        <v>37</v>
      </c>
      <c r="G6" s="65">
        <v>7300000</v>
      </c>
      <c r="H6" s="65">
        <v>7299999.9999999981</v>
      </c>
      <c r="I6" s="88" t="s">
        <v>42</v>
      </c>
      <c r="J6" s="65">
        <f>5474999.9+304166.7+304166.7</f>
        <v>6083333.3000000007</v>
      </c>
      <c r="K6" s="65">
        <f>1148728.76+25208.75+21007.3</f>
        <v>1194944.81</v>
      </c>
      <c r="L6" s="65">
        <f t="shared" si="0"/>
        <v>1216666.6999999974</v>
      </c>
      <c r="M6" s="65">
        <f>IF(F6=$B$144,L6,IF(F6=$B$146,L6*$C$146/$C$144,IF(F6=$B$145,L6*$C$145/$C$144,IF(F6=$B$143,L6/$C$144))))</f>
        <v>1220694.5019072536</v>
      </c>
      <c r="N6" s="230" t="s">
        <v>43</v>
      </c>
      <c r="Q6" s="23"/>
    </row>
    <row r="7" spans="1:17" ht="64.5" customHeight="1" outlineLevel="1" x14ac:dyDescent="0.25">
      <c r="A7" s="63">
        <v>2</v>
      </c>
      <c r="B7" s="64" t="s">
        <v>33</v>
      </c>
      <c r="C7" s="64" t="s">
        <v>44</v>
      </c>
      <c r="D7" s="87" t="s">
        <v>35</v>
      </c>
      <c r="E7" s="87" t="s">
        <v>45</v>
      </c>
      <c r="F7" s="68" t="s">
        <v>37</v>
      </c>
      <c r="G7" s="65">
        <v>14060526.73</v>
      </c>
      <c r="H7" s="65">
        <v>14060526.73</v>
      </c>
      <c r="I7" s="66">
        <v>7.4999999999999997E-3</v>
      </c>
      <c r="J7" s="65">
        <f>5858552.73979552+234342.1+234342.1</f>
        <v>6327236.9397955192</v>
      </c>
      <c r="K7" s="65">
        <f>1294472.69934396+40254.3+39195.3</f>
        <v>1373922.2993439601</v>
      </c>
      <c r="L7" s="65">
        <f t="shared" si="0"/>
        <v>7733289.7902044812</v>
      </c>
      <c r="M7" s="65">
        <f>IF(F7=$B$144,L7,IF(F7=$B$146,L7*$C$146/$C$144,IF(F7=$B$145,L7*$C$145/$C$144,IF(F7=$B$143,L7/$C$144))))</f>
        <v>7758891.0163795296</v>
      </c>
      <c r="N7" s="230" t="s">
        <v>39</v>
      </c>
      <c r="Q7" s="23"/>
    </row>
    <row r="8" spans="1:17" ht="67.5" outlineLevel="1" x14ac:dyDescent="0.25">
      <c r="A8" s="63">
        <v>3</v>
      </c>
      <c r="B8" s="64" t="s">
        <v>33</v>
      </c>
      <c r="C8" s="64" t="s">
        <v>46</v>
      </c>
      <c r="D8" s="87" t="s">
        <v>35</v>
      </c>
      <c r="E8" s="87" t="s">
        <v>47</v>
      </c>
      <c r="F8" s="68" t="s">
        <v>37</v>
      </c>
      <c r="G8" s="65">
        <v>75000000</v>
      </c>
      <c r="H8" s="65"/>
      <c r="I8" s="66" t="s">
        <v>48</v>
      </c>
      <c r="J8" s="172"/>
      <c r="K8" s="65">
        <f>1932812.5+93750+93750</f>
        <v>2120312.5</v>
      </c>
      <c r="L8" s="65">
        <f t="shared" si="0"/>
        <v>0</v>
      </c>
      <c r="M8" s="65">
        <f>IF(F8=$B$144,L8,IF(F8=$B$146,L8*$C$146/$C$144,IF(F8=$B$145,L8*$C$145/$C$144,IF(F8=$B$143,L8/$C$144))))</f>
        <v>0</v>
      </c>
      <c r="N8" s="230" t="s">
        <v>43</v>
      </c>
      <c r="Q8" s="23"/>
    </row>
    <row r="9" spans="1:17" ht="57.75" customHeight="1" outlineLevel="1" x14ac:dyDescent="0.25">
      <c r="A9" s="78">
        <v>4</v>
      </c>
      <c r="B9" s="81" t="s">
        <v>33</v>
      </c>
      <c r="C9" s="81" t="s">
        <v>46</v>
      </c>
      <c r="D9" s="87" t="s">
        <v>35</v>
      </c>
      <c r="E9" s="97" t="s">
        <v>49</v>
      </c>
      <c r="F9" s="68" t="s">
        <v>37</v>
      </c>
      <c r="G9" s="65">
        <v>10200000</v>
      </c>
      <c r="H9" s="65">
        <f>1075381.69+59500</f>
        <v>1134881.69</v>
      </c>
      <c r="I9" s="173" t="s">
        <v>38</v>
      </c>
      <c r="J9" s="65">
        <v>0</v>
      </c>
      <c r="K9" s="65">
        <f>200690.672577969+15587.2</f>
        <v>216277.87257796901</v>
      </c>
      <c r="L9" s="65">
        <v>8858930.3000000007</v>
      </c>
      <c r="M9" s="65">
        <f>IF(F9=$B$144,L9,IF(F9=$B$146,L9*$C$146/$C$144,IF(F9=$B$145,L9*$C$145/$C$144,IF(F9=$B$143,L9/$C$144))))</f>
        <v>8888257.9838747941</v>
      </c>
      <c r="N9" s="231" t="s">
        <v>43</v>
      </c>
      <c r="Q9" s="23"/>
    </row>
    <row r="10" spans="1:17" ht="57.75" customHeight="1" outlineLevel="1" x14ac:dyDescent="0.25">
      <c r="A10" s="83"/>
      <c r="B10" s="86"/>
      <c r="C10" s="86"/>
      <c r="D10" s="87"/>
      <c r="E10" s="102"/>
      <c r="F10" s="68" t="s">
        <v>3</v>
      </c>
      <c r="G10" s="65"/>
      <c r="H10" s="65">
        <v>244081445</v>
      </c>
      <c r="I10" s="174"/>
      <c r="J10" s="65"/>
      <c r="K10" s="65">
        <v>9774294.3000000007</v>
      </c>
      <c r="L10" s="65">
        <f>H10-J10</f>
        <v>244081445</v>
      </c>
      <c r="M10" s="65">
        <f>IF(F10=$B$144,L10,IF(F10=$B$146,L10*$C$146/$C$144,IF(F10=$B$145,L10*$C$145/$C$144,IF(F10=$B$143,L10/$C$144))))</f>
        <v>603012.68621686392</v>
      </c>
      <c r="N10" s="232"/>
      <c r="Q10" s="23"/>
    </row>
    <row r="11" spans="1:17" ht="76.5" customHeight="1" outlineLevel="1" x14ac:dyDescent="0.25">
      <c r="A11" s="78">
        <v>5</v>
      </c>
      <c r="B11" s="81" t="s">
        <v>33</v>
      </c>
      <c r="C11" s="81" t="s">
        <v>50</v>
      </c>
      <c r="D11" s="87"/>
      <c r="E11" s="97" t="s">
        <v>51</v>
      </c>
      <c r="F11" s="68" t="s">
        <v>37</v>
      </c>
      <c r="G11" s="65">
        <v>10000000</v>
      </c>
      <c r="H11" s="65"/>
      <c r="I11" s="173" t="s">
        <v>52</v>
      </c>
      <c r="J11" s="65"/>
      <c r="K11" s="65">
        <v>50000</v>
      </c>
      <c r="L11" s="65">
        <f>H11-J11</f>
        <v>0</v>
      </c>
      <c r="M11" s="65">
        <f>IF(F11=$B$144,L11,IF(F11=$B$146,L11*$C$146/$C$144,IF(F11=$B$145,L11*$C$145/$C$144,IF(F11=$B$143,L11/$C$144))))</f>
        <v>0</v>
      </c>
      <c r="N11" s="231" t="s">
        <v>53</v>
      </c>
      <c r="Q11" s="23"/>
    </row>
    <row r="12" spans="1:17" ht="76.5" customHeight="1" outlineLevel="1" x14ac:dyDescent="0.25">
      <c r="A12" s="83"/>
      <c r="B12" s="86"/>
      <c r="C12" s="86"/>
      <c r="D12" s="87"/>
      <c r="E12" s="102"/>
      <c r="F12" s="87" t="s">
        <v>3</v>
      </c>
      <c r="G12" s="65"/>
      <c r="H12" s="65"/>
      <c r="I12" s="174"/>
      <c r="J12" s="65"/>
      <c r="K12" s="65"/>
      <c r="L12" s="65">
        <f t="shared" si="0"/>
        <v>0</v>
      </c>
      <c r="M12" s="65">
        <f>IF(F12=$B$144,L12,IF(F12=$B$146,L12*$C$146/$C$144,IF(F12=$B$145,L12*$C$145/$C$144,IF(F12=$B$143,L12/$C$144))))</f>
        <v>0</v>
      </c>
      <c r="N12" s="232"/>
      <c r="Q12" s="23"/>
    </row>
    <row r="13" spans="1:17" ht="76.5" customHeight="1" outlineLevel="1" x14ac:dyDescent="0.25">
      <c r="A13" s="78">
        <v>6</v>
      </c>
      <c r="B13" s="81" t="s">
        <v>33</v>
      </c>
      <c r="C13" s="81" t="s">
        <v>54</v>
      </c>
      <c r="D13" s="87"/>
      <c r="E13" s="97" t="s">
        <v>55</v>
      </c>
      <c r="F13" s="68" t="s">
        <v>37</v>
      </c>
      <c r="G13" s="65">
        <v>83000000</v>
      </c>
      <c r="H13" s="65"/>
      <c r="I13" s="173">
        <v>1.7999999999999999E-2</v>
      </c>
      <c r="J13" s="65"/>
      <c r="K13" s="65">
        <f>1930326.40003794+103750+103750</f>
        <v>2137826.4000379397</v>
      </c>
      <c r="L13" s="65">
        <f t="shared" si="0"/>
        <v>0</v>
      </c>
      <c r="M13" s="65">
        <f>IF(F13=$B$144,L13,IF(F13=$B$146,L13*$C$146/$C$144,IF(F13=$B$145,L13*$C$145/$C$144,IF(F13=$B$143,L13/$C$144))))</f>
        <v>0</v>
      </c>
      <c r="N13" s="231" t="s">
        <v>43</v>
      </c>
      <c r="Q13" s="23"/>
    </row>
    <row r="14" spans="1:17" ht="76.5" customHeight="1" outlineLevel="1" x14ac:dyDescent="0.25">
      <c r="A14" s="83"/>
      <c r="B14" s="86"/>
      <c r="C14" s="86"/>
      <c r="D14" s="87"/>
      <c r="E14" s="102"/>
      <c r="F14" s="87" t="s">
        <v>3</v>
      </c>
      <c r="G14" s="65"/>
      <c r="H14" s="65"/>
      <c r="I14" s="174"/>
      <c r="J14" s="65"/>
      <c r="K14" s="65"/>
      <c r="L14" s="65">
        <f t="shared" si="0"/>
        <v>0</v>
      </c>
      <c r="M14" s="65">
        <f>IF(F14=$B$144,L14,IF(F14=$B$146,L14*$C$146/$C$144,IF(F14=$B$145,L14*$C$145/$C$144,IF(F14=$B$143,L14/$C$144))))</f>
        <v>0</v>
      </c>
      <c r="N14" s="232"/>
      <c r="O14" s="43"/>
      <c r="Q14" s="23"/>
    </row>
    <row r="15" spans="1:17" ht="96.75" customHeight="1" outlineLevel="1" x14ac:dyDescent="0.25">
      <c r="A15" s="169">
        <v>7</v>
      </c>
      <c r="B15" s="81" t="s">
        <v>33</v>
      </c>
      <c r="C15" s="81" t="s">
        <v>56</v>
      </c>
      <c r="D15" s="171" t="s">
        <v>57</v>
      </c>
      <c r="E15" s="171" t="s">
        <v>58</v>
      </c>
      <c r="F15" s="68" t="s">
        <v>59</v>
      </c>
      <c r="G15" s="65">
        <f>35500000-1434414.8</f>
        <v>34065585.200000003</v>
      </c>
      <c r="H15" s="65">
        <v>34065585.200000003</v>
      </c>
      <c r="I15" s="175" t="s">
        <v>60</v>
      </c>
      <c r="J15" s="65">
        <v>2271038.99992368</v>
      </c>
      <c r="K15" s="65">
        <v>6222393.049192206</v>
      </c>
      <c r="L15" s="65">
        <f t="shared" si="0"/>
        <v>31794546.200076323</v>
      </c>
      <c r="M15" s="65">
        <f>IF(F15=$B$144,L15,IF(F15=$B$146,L15*$C$146/$C$144,IF(F15=$B$145,L15*$C$145/$C$144,IF(F15=$B$143,L15/$C$144))))</f>
        <v>31794546.200076323</v>
      </c>
      <c r="N15" s="231" t="s">
        <v>61</v>
      </c>
      <c r="O15" s="43"/>
      <c r="Q15" s="23"/>
    </row>
    <row r="16" spans="1:17" ht="68.25" customHeight="1" outlineLevel="1" x14ac:dyDescent="0.25">
      <c r="A16" s="169"/>
      <c r="B16" s="86"/>
      <c r="C16" s="86"/>
      <c r="D16" s="171"/>
      <c r="E16" s="171"/>
      <c r="F16" s="87" t="s">
        <v>3</v>
      </c>
      <c r="G16" s="65"/>
      <c r="H16" s="65">
        <v>3680136115.8000002</v>
      </c>
      <c r="I16" s="175"/>
      <c r="J16" s="65">
        <v>265035523.80000001</v>
      </c>
      <c r="K16" s="65">
        <v>667982925.54010713</v>
      </c>
      <c r="L16" s="65">
        <f t="shared" si="0"/>
        <v>3415100592</v>
      </c>
      <c r="M16" s="65">
        <f>IF(F16=$B$144,L16,IF(F16=$B$146,L16*$C$146/$C$144,IF(F16=$B$145,L16*$C$145/$C$144,IF(F16=$B$143,L16/$C$144))))</f>
        <v>8437138.6021691337</v>
      </c>
      <c r="N16" s="232"/>
      <c r="O16" s="43"/>
      <c r="Q16" s="23"/>
    </row>
    <row r="17" spans="1:15" s="23" customFormat="1" ht="81" customHeight="1" outlineLevel="1" x14ac:dyDescent="0.25">
      <c r="A17" s="78">
        <v>8</v>
      </c>
      <c r="B17" s="81" t="s">
        <v>33</v>
      </c>
      <c r="C17" s="81" t="s">
        <v>62</v>
      </c>
      <c r="D17" s="97" t="s">
        <v>57</v>
      </c>
      <c r="E17" s="176" t="s">
        <v>63</v>
      </c>
      <c r="F17" s="68" t="s">
        <v>59</v>
      </c>
      <c r="G17" s="177">
        <f>40000000-2500000-1500000</f>
        <v>36000000</v>
      </c>
      <c r="H17" s="65">
        <v>23371604.149999999</v>
      </c>
      <c r="I17" s="66" t="s">
        <v>60</v>
      </c>
      <c r="J17" s="65">
        <v>0</v>
      </c>
      <c r="K17" s="65">
        <v>2610870.4511588858</v>
      </c>
      <c r="L17" s="65">
        <f t="shared" si="0"/>
        <v>23371604.149999999</v>
      </c>
      <c r="M17" s="65">
        <f>IF(F17=$B$144,L17,IF(F17=$B$146,L17*$C$146/$C$144,IF(F17=$B$145,L17*$C$145/$C$144,IF(F17=$B$143,L17/$C$144))))</f>
        <v>23371604.149999999</v>
      </c>
      <c r="N17" s="231" t="s">
        <v>61</v>
      </c>
      <c r="O17" s="43"/>
    </row>
    <row r="18" spans="1:15" s="23" customFormat="1" ht="39.75" customHeight="1" outlineLevel="1" x14ac:dyDescent="0.25">
      <c r="A18" s="83"/>
      <c r="B18" s="86"/>
      <c r="C18" s="86"/>
      <c r="D18" s="102"/>
      <c r="E18" s="178"/>
      <c r="F18" s="87" t="s">
        <v>3</v>
      </c>
      <c r="G18" s="177"/>
      <c r="H18" s="65">
        <v>969260610.20000005</v>
      </c>
      <c r="I18" s="66"/>
      <c r="J18" s="65">
        <v>563212.19999999995</v>
      </c>
      <c r="K18" s="65">
        <v>103135336.99999999</v>
      </c>
      <c r="L18" s="65">
        <f t="shared" si="0"/>
        <v>968697398</v>
      </c>
      <c r="M18" s="65">
        <f>IF(F18=$B$144,L18,IF(F18=$B$146,L18*$C$146/$C$144,IF(F18=$B$145,L18*$C$145/$C$144,IF(F18=$B$143,L18/$C$144))))</f>
        <v>2393204.5309682041</v>
      </c>
      <c r="N18" s="232"/>
      <c r="O18" s="43"/>
    </row>
    <row r="19" spans="1:15" s="23" customFormat="1" ht="70.5" customHeight="1" outlineLevel="1" x14ac:dyDescent="0.25">
      <c r="A19" s="78">
        <v>9</v>
      </c>
      <c r="B19" s="179" t="s">
        <v>33</v>
      </c>
      <c r="C19" s="81" t="s">
        <v>64</v>
      </c>
      <c r="D19" s="97" t="s">
        <v>57</v>
      </c>
      <c r="E19" s="176" t="s">
        <v>65</v>
      </c>
      <c r="F19" s="68" t="s">
        <v>59</v>
      </c>
      <c r="G19" s="177">
        <v>23194486</v>
      </c>
      <c r="H19" s="65">
        <v>11179778.780000001</v>
      </c>
      <c r="I19" s="173" t="s">
        <v>60</v>
      </c>
      <c r="J19" s="65">
        <v>0</v>
      </c>
      <c r="K19" s="65">
        <v>1101400.8299593008</v>
      </c>
      <c r="L19" s="65">
        <f t="shared" si="0"/>
        <v>11179778.780000001</v>
      </c>
      <c r="M19" s="65">
        <f>IF(F19=$B$144,L19,IF(F19=$B$146,L19*$C$146/$C$144,IF(F19=$B$145,L19*$C$145/$C$144,IF(F19=$B$143,L19/$C$144))))</f>
        <v>11179778.780000001</v>
      </c>
      <c r="N19" s="231" t="s">
        <v>61</v>
      </c>
      <c r="O19" s="43"/>
    </row>
    <row r="20" spans="1:15" s="23" customFormat="1" ht="39.75" customHeight="1" outlineLevel="1" x14ac:dyDescent="0.25">
      <c r="A20" s="83"/>
      <c r="B20" s="100"/>
      <c r="C20" s="95"/>
      <c r="D20" s="96"/>
      <c r="E20" s="178"/>
      <c r="F20" s="87" t="s">
        <v>3</v>
      </c>
      <c r="G20" s="177"/>
      <c r="H20" s="65">
        <v>1376891553.3</v>
      </c>
      <c r="I20" s="180"/>
      <c r="J20" s="65">
        <v>91463799.799999997</v>
      </c>
      <c r="K20" s="65">
        <v>95965120.899999991</v>
      </c>
      <c r="L20" s="65">
        <f t="shared" si="0"/>
        <v>1285427753.5</v>
      </c>
      <c r="M20" s="65">
        <f>IF(F20=$B$144,L20,IF(F20=$B$146,L20*$C$146/$C$144,IF(F20=$B$145,L20*$C$145/$C$144,IF(F20=$B$143,L20/$C$144))))</f>
        <v>3175699.1711342246</v>
      </c>
      <c r="N20" s="232"/>
      <c r="O20" s="43"/>
    </row>
    <row r="21" spans="1:15" s="23" customFormat="1" ht="60" customHeight="1" outlineLevel="1" x14ac:dyDescent="0.25">
      <c r="A21" s="78">
        <v>10</v>
      </c>
      <c r="B21" s="179" t="s">
        <v>66</v>
      </c>
      <c r="C21" s="95"/>
      <c r="D21" s="96"/>
      <c r="E21" s="176" t="s">
        <v>65</v>
      </c>
      <c r="F21" s="68" t="s">
        <v>59</v>
      </c>
      <c r="G21" s="65">
        <f>3204473.43+400000+400000+141890.58+1400000+709916.47+1000000+256884.53+1200000+1350000+1665000+1150000+988000+1366500+1657855.12-227903.28</f>
        <v>16662616.85</v>
      </c>
      <c r="H21" s="65">
        <f>3204473.43+400000+400000+141890.58+1400000+709916.47+1000000+256884.53+1200000+1350000+1665000+1150000+988000+1366500+1657855.12-227903.28</f>
        <v>16662616.85</v>
      </c>
      <c r="I21" s="180"/>
      <c r="J21" s="65"/>
      <c r="K21" s="65">
        <v>1884901.4992073209</v>
      </c>
      <c r="L21" s="65">
        <f t="shared" si="0"/>
        <v>16662616.85</v>
      </c>
      <c r="M21" s="65">
        <f>IF(F21=$B$144,L21,IF(F21=$B$146,L21*$C$146/$C$144,IF(F21=$B$145,L21*$C$145/$C$144,IF(F21=$B$143,L21/$C$144))))</f>
        <v>16662616.85</v>
      </c>
      <c r="N21" s="231" t="s">
        <v>61</v>
      </c>
      <c r="O21" s="43"/>
    </row>
    <row r="22" spans="1:15" s="23" customFormat="1" ht="40.5" customHeight="1" outlineLevel="1" x14ac:dyDescent="0.25">
      <c r="A22" s="83"/>
      <c r="B22" s="100"/>
      <c r="C22" s="86"/>
      <c r="D22" s="102"/>
      <c r="E22" s="178"/>
      <c r="F22" s="68" t="s">
        <v>3</v>
      </c>
      <c r="G22" s="44"/>
      <c r="H22" s="65">
        <f>384710448.3+1500000+15000000+35000000+25000000+78000000+227000000-988382.4+40000000+23500000+76000000+75000000+37000000+60000000+48495600+73000000+36250000+82215300+50500000+35000000+2192900+3500000+251300000+415000000+9000000-41385546.5+1500000+6900000-151740654.7+3300000+8000000+14000000+1150000+320000+1150000+77500000+3117.6+860771.9</f>
        <v>2004733554.2</v>
      </c>
      <c r="I22" s="174"/>
      <c r="J22" s="65"/>
      <c r="K22" s="65">
        <v>201333110.20819587</v>
      </c>
      <c r="L22" s="65">
        <f t="shared" si="0"/>
        <v>2004733554.2</v>
      </c>
      <c r="M22" s="65">
        <f>IF(F22=$B$144,L22,IF(F22=$B$146,L22*$C$146/$C$144,IF(F22=$B$145,L22*$C$145/$C$144,IF(F22=$B$143,L22/$C$144))))</f>
        <v>4952772.0784643134</v>
      </c>
      <c r="N22" s="232"/>
      <c r="O22" s="43"/>
    </row>
    <row r="23" spans="1:15" s="23" customFormat="1" ht="57.75" customHeight="1" outlineLevel="1" x14ac:dyDescent="0.25">
      <c r="A23" s="78">
        <v>11</v>
      </c>
      <c r="B23" s="179" t="s">
        <v>33</v>
      </c>
      <c r="C23" s="81" t="s">
        <v>67</v>
      </c>
      <c r="D23" s="97" t="s">
        <v>68</v>
      </c>
      <c r="E23" s="97" t="s">
        <v>69</v>
      </c>
      <c r="F23" s="68" t="s">
        <v>70</v>
      </c>
      <c r="G23" s="181">
        <v>13988153</v>
      </c>
      <c r="H23" s="65">
        <v>8375536.2411363386</v>
      </c>
      <c r="I23" s="173">
        <v>3.1399999999999997E-2</v>
      </c>
      <c r="J23" s="65">
        <f>809790.60012893+138197200.6/667.53+125818892.9/607.74</f>
        <v>1223845.8002396652</v>
      </c>
      <c r="K23" s="65">
        <v>1108884.5300879336</v>
      </c>
      <c r="L23" s="65">
        <f t="shared" si="0"/>
        <v>7151690.4408966731</v>
      </c>
      <c r="M23" s="65">
        <f>IF(F23=$B$144,L23,IF(F23=$B$146,L23*$C$146/$C$144,IF(F23=$B$145,L23*$C$145/$C$144,IF(F23=$B$147,L23*$C$147/$C$144,IF(F23=$B$143,L23/$C$144)))))</f>
        <v>9311138.042463962</v>
      </c>
      <c r="N23" s="231" t="s">
        <v>61</v>
      </c>
      <c r="O23" s="43"/>
    </row>
    <row r="24" spans="1:15" s="23" customFormat="1" ht="32.25" customHeight="1" outlineLevel="1" x14ac:dyDescent="0.25">
      <c r="A24" s="83"/>
      <c r="B24" s="100"/>
      <c r="C24" s="95"/>
      <c r="D24" s="96"/>
      <c r="E24" s="102"/>
      <c r="F24" s="87" t="s">
        <v>3</v>
      </c>
      <c r="G24" s="182"/>
      <c r="H24" s="65">
        <v>1194787815</v>
      </c>
      <c r="I24" s="174"/>
      <c r="J24" s="65">
        <f>119517429.9+29868621.7+29868621.9</f>
        <v>179254673.5</v>
      </c>
      <c r="K24" s="65">
        <v>161513749.20000002</v>
      </c>
      <c r="L24" s="65">
        <f t="shared" si="0"/>
        <v>1015533141.5</v>
      </c>
      <c r="M24" s="65">
        <f>IF(F24=$B$144,L24,IF(F24=$B$146,L24*$C$146/$C$144,IF(F24=$B$145,L24*$C$145/$C$144,IF(F24=$B$147,L24*$C$147/$C$144,IF(F24=$B$143,L24/$C$144)))))</f>
        <v>2508914.0536601036</v>
      </c>
      <c r="N24" s="232"/>
      <c r="O24" s="43"/>
    </row>
    <row r="25" spans="1:15" s="23" customFormat="1" ht="51.75" customHeight="1" outlineLevel="1" x14ac:dyDescent="0.25">
      <c r="A25" s="78">
        <v>12</v>
      </c>
      <c r="B25" s="179" t="s">
        <v>71</v>
      </c>
      <c r="C25" s="95"/>
      <c r="D25" s="96"/>
      <c r="E25" s="97" t="s">
        <v>69</v>
      </c>
      <c r="F25" s="68" t="s">
        <v>70</v>
      </c>
      <c r="G25" s="181">
        <v>10098535</v>
      </c>
      <c r="H25" s="65">
        <v>10121386.37101347</v>
      </c>
      <c r="I25" s="173">
        <v>3.1399999999999997E-2</v>
      </c>
      <c r="J25" s="65">
        <v>1260441.3017757337</v>
      </c>
      <c r="K25" s="65">
        <v>832426.01620833902</v>
      </c>
      <c r="L25" s="65">
        <f t="shared" si="0"/>
        <v>8860945.069237737</v>
      </c>
      <c r="M25" s="65">
        <f>IF(F25=$B$144,L25,IF(F25=$B$146,L25*$C$146/$C$144,IF(F25=$B$145,L25*$C$145/$C$144,IF(F25=$B$147,L25*$C$147/$C$144,IF(F25=$B$143,L25/$C$144)))))</f>
        <v>11536500.832664464</v>
      </c>
      <c r="N25" s="231" t="s">
        <v>61</v>
      </c>
      <c r="O25" s="43"/>
    </row>
    <row r="26" spans="1:15" s="23" customFormat="1" ht="32.25" customHeight="1" outlineLevel="1" x14ac:dyDescent="0.25">
      <c r="A26" s="83"/>
      <c r="B26" s="100"/>
      <c r="C26" s="86"/>
      <c r="D26" s="102"/>
      <c r="E26" s="102"/>
      <c r="F26" s="87" t="s">
        <v>3</v>
      </c>
      <c r="G26" s="182"/>
      <c r="H26" s="65">
        <v>794162455.89999998</v>
      </c>
      <c r="I26" s="174"/>
      <c r="J26" s="65">
        <v>103281211.69999999</v>
      </c>
      <c r="K26" s="65">
        <v>67710008.799999997</v>
      </c>
      <c r="L26" s="65">
        <f t="shared" si="0"/>
        <v>690881244.20000005</v>
      </c>
      <c r="M26" s="65">
        <f>IF(F26=$B$144,L26,IF(F26=$B$146,L26*$C$146/$C$144,IF(F26=$B$145,L26*$C$145/$C$144,IF(F26=$B$147,L26*$C$147/$C$144,IF(F26=$B$143,L26/$C$144)))))</f>
        <v>1706848.936927144</v>
      </c>
      <c r="N26" s="232"/>
      <c r="O26" s="43"/>
    </row>
    <row r="27" spans="1:15" s="23" customFormat="1" ht="48" customHeight="1" outlineLevel="1" x14ac:dyDescent="0.25">
      <c r="A27" s="63">
        <v>13</v>
      </c>
      <c r="B27" s="56" t="s">
        <v>33</v>
      </c>
      <c r="C27" s="183" t="s">
        <v>72</v>
      </c>
      <c r="D27" s="171" t="s">
        <v>73</v>
      </c>
      <c r="E27" s="87" t="s">
        <v>74</v>
      </c>
      <c r="F27" s="68" t="s">
        <v>59</v>
      </c>
      <c r="G27" s="65">
        <v>19600000</v>
      </c>
      <c r="H27" s="65">
        <v>19419334.870000001</v>
      </c>
      <c r="I27" s="99">
        <v>5.0000000000000001E-3</v>
      </c>
      <c r="J27" s="65">
        <f>9716960.66852489+189584407.5/488.5+172026989.7/443.26</f>
        <v>10493150.668524889</v>
      </c>
      <c r="K27" s="65">
        <f>1129921.93024286+16077756.3/488.5+14096288.6/443.26</f>
        <v>1194635.8304264306</v>
      </c>
      <c r="L27" s="65">
        <f t="shared" si="0"/>
        <v>8926184.2014751118</v>
      </c>
      <c r="M27" s="65">
        <f>IF(F27=$B$144,L27,IF(F27=$B$146,L27*$C$146/$C$144,IF(F27=$B$145,L27*$C$145/$C$144,IF(F27=$B$147,L27*$C$147/$C$144,IF(F27=$B$143,L27/$C$144)))))</f>
        <v>8926184.2014751118</v>
      </c>
      <c r="N27" s="230" t="s">
        <v>61</v>
      </c>
      <c r="O27" s="43"/>
    </row>
    <row r="28" spans="1:15" s="23" customFormat="1" ht="60" customHeight="1" outlineLevel="1" x14ac:dyDescent="0.25">
      <c r="A28" s="63">
        <v>14</v>
      </c>
      <c r="B28" s="56" t="s">
        <v>71</v>
      </c>
      <c r="C28" s="183"/>
      <c r="D28" s="171"/>
      <c r="E28" s="87" t="s">
        <v>75</v>
      </c>
      <c r="F28" s="68" t="s">
        <v>59</v>
      </c>
      <c r="G28" s="65">
        <v>297276.53999999998</v>
      </c>
      <c r="H28" s="65">
        <v>297276.53999999998</v>
      </c>
      <c r="I28" s="66" t="s">
        <v>76</v>
      </c>
      <c r="J28" s="65">
        <f>257638.543537781+4361667/440.15</f>
        <v>267548.0448441538</v>
      </c>
      <c r="K28" s="65">
        <f>229541.53251276+1912186/489.99+1556591/440.15</f>
        <v>236980.53375655663</v>
      </c>
      <c r="L28" s="65">
        <f t="shared" si="0"/>
        <v>29728.495155846176</v>
      </c>
      <c r="M28" s="65">
        <f>IF(F28=$B$144,L28,IF(F28=$B$146,L28*$C$146/$C$144,IF(F28=$B$145,L28*$C$145/$C$144,IF(F28=$B$147,L28*$C$147/$C$144,IF(F28=$B$143,L28/$C$144)))))</f>
        <v>29728.495155846176</v>
      </c>
      <c r="N28" s="230" t="s">
        <v>61</v>
      </c>
      <c r="O28" s="43"/>
    </row>
    <row r="29" spans="1:15" s="23" customFormat="1" ht="51" customHeight="1" outlineLevel="1" x14ac:dyDescent="0.25">
      <c r="A29" s="63">
        <v>15</v>
      </c>
      <c r="B29" s="56" t="s">
        <v>71</v>
      </c>
      <c r="C29" s="184" t="s">
        <v>77</v>
      </c>
      <c r="D29" s="171" t="s">
        <v>78</v>
      </c>
      <c r="E29" s="87" t="s">
        <v>79</v>
      </c>
      <c r="F29" s="87" t="s">
        <v>80</v>
      </c>
      <c r="G29" s="65">
        <v>1571940173.3299999</v>
      </c>
      <c r="H29" s="65">
        <v>1598519063</v>
      </c>
      <c r="I29" s="99">
        <v>1.7999999999999999E-2</v>
      </c>
      <c r="J29" s="65">
        <v>1030178646.5</v>
      </c>
      <c r="K29" s="65">
        <v>226837831.92593718</v>
      </c>
      <c r="L29" s="65">
        <f t="shared" si="0"/>
        <v>568340416.5</v>
      </c>
      <c r="M29" s="65">
        <f>IF(F29=$B$144,L29,IF(F29=$B$146,L29*$C$146/$C$144,IF(F29=$B$145,L29*$C$145/$C$144,IF(F29=$B$147,L29*$C$147/$C$144,IF(F29=$B$143,L29/$C$144)))))</f>
        <v>4111225.4848728906</v>
      </c>
      <c r="N29" s="230" t="s">
        <v>61</v>
      </c>
      <c r="O29" s="43"/>
    </row>
    <row r="30" spans="1:15" s="23" customFormat="1" ht="41.25" customHeight="1" outlineLevel="1" x14ac:dyDescent="0.25">
      <c r="A30" s="63">
        <v>16</v>
      </c>
      <c r="B30" s="64" t="s">
        <v>81</v>
      </c>
      <c r="C30" s="184"/>
      <c r="D30" s="171"/>
      <c r="E30" s="87" t="s">
        <v>79</v>
      </c>
      <c r="F30" s="87" t="s">
        <v>80</v>
      </c>
      <c r="G30" s="65">
        <v>3796371795.6700001</v>
      </c>
      <c r="H30" s="65">
        <v>3861444249</v>
      </c>
      <c r="I30" s="99">
        <v>1.7999999999999999E-2</v>
      </c>
      <c r="J30" s="65">
        <v>2513837447.5599999</v>
      </c>
      <c r="K30" s="65">
        <v>553224853.25679886</v>
      </c>
      <c r="L30" s="65">
        <f t="shared" si="0"/>
        <v>1347606801.4400001</v>
      </c>
      <c r="M30" s="65">
        <f>IF(F30=$B$144,L30,IF(F30=$B$146,L30*$C$146/$C$144,IF(F30=$B$145,L30*$C$145/$C$144,IF(F30=$B$147,L30*$C$147/$C$144,IF(F30=$B$143,L30/$C$144)))))</f>
        <v>9748234.0949584208</v>
      </c>
      <c r="N30" s="230" t="s">
        <v>61</v>
      </c>
      <c r="O30" s="43"/>
    </row>
    <row r="31" spans="1:15" s="23" customFormat="1" ht="33.75" customHeight="1" outlineLevel="1" x14ac:dyDescent="0.25">
      <c r="A31" s="169">
        <v>17</v>
      </c>
      <c r="B31" s="184" t="s">
        <v>82</v>
      </c>
      <c r="C31" s="183" t="s">
        <v>83</v>
      </c>
      <c r="D31" s="171" t="s">
        <v>73</v>
      </c>
      <c r="E31" s="171" t="s">
        <v>84</v>
      </c>
      <c r="F31" s="68" t="s">
        <v>59</v>
      </c>
      <c r="G31" s="65">
        <v>4846628.13</v>
      </c>
      <c r="H31" s="65">
        <v>4737831.22</v>
      </c>
      <c r="I31" s="66">
        <v>7.4999999999999997E-3</v>
      </c>
      <c r="J31" s="65">
        <v>567709.77933710115</v>
      </c>
      <c r="K31" s="65">
        <v>337675.01628619176</v>
      </c>
      <c r="L31" s="65">
        <f t="shared" si="0"/>
        <v>4170121.4406628986</v>
      </c>
      <c r="M31" s="65">
        <f>IF(F31=$B$144,L31,IF(F31=$B$146,L31*$C$146/$C$144,IF(F31=$B$145,L31*$C$145/$C$144,IF(F31=$B$147,L31*$C$147/$C$144,IF(F31=$B$143,L31/$C$144)))))</f>
        <v>4170121.4406628986</v>
      </c>
      <c r="N31" s="230" t="s">
        <v>85</v>
      </c>
      <c r="O31" s="43"/>
    </row>
    <row r="32" spans="1:15" s="23" customFormat="1" ht="41.25" customHeight="1" outlineLevel="1" x14ac:dyDescent="0.25">
      <c r="A32" s="169"/>
      <c r="B32" s="184"/>
      <c r="C32" s="183"/>
      <c r="D32" s="171"/>
      <c r="E32" s="171"/>
      <c r="F32" s="87" t="s">
        <v>3</v>
      </c>
      <c r="G32" s="65">
        <v>1740568345.9000001</v>
      </c>
      <c r="H32" s="65">
        <v>1740568345.9000001</v>
      </c>
      <c r="I32" s="66">
        <v>7.4999999999999997E-3</v>
      </c>
      <c r="J32" s="65">
        <v>229697780</v>
      </c>
      <c r="K32" s="65">
        <v>122453004.27365503</v>
      </c>
      <c r="L32" s="65">
        <f t="shared" si="0"/>
        <v>1510870565.9000001</v>
      </c>
      <c r="M32" s="65">
        <f>IF(F32=$B$144,L32,IF(F32=$B$146,L32*$C$146/$C$144,IF(F32=$B$145,L32*$C$145/$C$144,IF(F32=$B$147,L32*$C$147/$C$144,IF(F32=$B$143,L32/$C$144)))))</f>
        <v>3732664.3918768689</v>
      </c>
      <c r="N32" s="230" t="s">
        <v>85</v>
      </c>
      <c r="O32" s="43"/>
    </row>
    <row r="33" spans="1:17" ht="60" customHeight="1" outlineLevel="1" x14ac:dyDescent="0.25">
      <c r="A33" s="63">
        <v>18</v>
      </c>
      <c r="B33" s="56" t="s">
        <v>86</v>
      </c>
      <c r="C33" s="64" t="s">
        <v>87</v>
      </c>
      <c r="D33" s="87" t="s">
        <v>35</v>
      </c>
      <c r="E33" s="185" t="s">
        <v>88</v>
      </c>
      <c r="F33" s="68" t="s">
        <v>37</v>
      </c>
      <c r="G33" s="186">
        <v>17895215.550000001</v>
      </c>
      <c r="H33" s="65">
        <v>17895215.550000001</v>
      </c>
      <c r="I33" s="66">
        <v>7.4999999999999997E-3</v>
      </c>
      <c r="J33" s="65">
        <v>7434693.9040968288</v>
      </c>
      <c r="K33" s="65">
        <v>2528934.6849614764</v>
      </c>
      <c r="L33" s="65">
        <f t="shared" si="0"/>
        <v>10460521.645903172</v>
      </c>
      <c r="M33" s="65">
        <f>IF(F33=$B$144,L33,IF(F33=$B$146,L33*$C$146/$C$144,IF(F33=$B$145,L33*$C$145/$C$144,IF(F33=$B$147,L33*$C$147/$C$144,IF(F33=$B$143,L33/$C$144)))))</f>
        <v>10495151.433203394</v>
      </c>
      <c r="N33" s="230" t="s">
        <v>61</v>
      </c>
      <c r="O33" s="43"/>
      <c r="Q33" s="23"/>
    </row>
    <row r="34" spans="1:17" ht="40.5" customHeight="1" outlineLevel="1" x14ac:dyDescent="0.25">
      <c r="A34" s="169">
        <v>19</v>
      </c>
      <c r="B34" s="179" t="s">
        <v>89</v>
      </c>
      <c r="C34" s="183" t="s">
        <v>90</v>
      </c>
      <c r="D34" s="183" t="s">
        <v>301</v>
      </c>
      <c r="E34" s="64" t="s">
        <v>91</v>
      </c>
      <c r="F34" s="68" t="s">
        <v>37</v>
      </c>
      <c r="G34" s="187">
        <v>22000000</v>
      </c>
      <c r="H34" s="65">
        <v>21247150.510000002</v>
      </c>
      <c r="I34" s="188" t="s">
        <v>92</v>
      </c>
      <c r="J34" s="65">
        <f>1047000+1047000+1047000+1047000</f>
        <v>4188000</v>
      </c>
      <c r="K34" s="65">
        <v>1562793.5</v>
      </c>
      <c r="L34" s="60">
        <f>H34-J34</f>
        <v>17059150.510000002</v>
      </c>
      <c r="M34" s="65">
        <f>IF(F34=$B$144,L34,IF(F34=$B$146,L34*$C$146/$C$144,IF(F34=$B$145,L34*$C$145/$C$144,IF(F34=$B$147,L34*$C$147/$C$144,IF(F34=$B$143,L34/$C$144)))))</f>
        <v>17115625.203488652</v>
      </c>
      <c r="N34" s="230" t="s">
        <v>93</v>
      </c>
      <c r="O34" s="43"/>
      <c r="Q34" s="23"/>
    </row>
    <row r="35" spans="1:17" ht="31.5" customHeight="1" outlineLevel="1" x14ac:dyDescent="0.25">
      <c r="A35" s="169"/>
      <c r="B35" s="94"/>
      <c r="C35" s="183"/>
      <c r="D35" s="183"/>
      <c r="E35" s="64" t="s">
        <v>94</v>
      </c>
      <c r="F35" s="68" t="s">
        <v>37</v>
      </c>
      <c r="G35" s="187">
        <v>14500000</v>
      </c>
      <c r="H35" s="65">
        <v>14491281.059999999</v>
      </c>
      <c r="I35" s="188" t="s">
        <v>38</v>
      </c>
      <c r="J35" s="65">
        <f>241000+241000+241000+241000</f>
        <v>964000</v>
      </c>
      <c r="K35" s="65">
        <v>477284.5</v>
      </c>
      <c r="L35" s="60">
        <f>H35-J35</f>
        <v>13527281.059999999</v>
      </c>
      <c r="M35" s="65">
        <f>IF(F35=$B$144,L35,IF(F35=$B$146,L35*$C$146/$C$144,IF(F35=$B$145,L35*$C$145/$C$144,IF(F35=$B$147,L35*$C$147/$C$144,IF(F35=$B$143,L35/$C$144)))))</f>
        <v>13572063.421885515</v>
      </c>
      <c r="N35" s="230" t="s">
        <v>93</v>
      </c>
      <c r="O35" s="43"/>
      <c r="Q35" s="23"/>
    </row>
    <row r="36" spans="1:17" ht="42.75" customHeight="1" outlineLevel="1" x14ac:dyDescent="0.25">
      <c r="A36" s="169"/>
      <c r="B36" s="100"/>
      <c r="C36" s="183"/>
      <c r="D36" s="183"/>
      <c r="E36" s="64" t="s">
        <v>95</v>
      </c>
      <c r="F36" s="68" t="s">
        <v>37</v>
      </c>
      <c r="G36" s="187">
        <v>14500000</v>
      </c>
      <c r="H36" s="65">
        <v>14500000.000000002</v>
      </c>
      <c r="I36" s="188" t="s">
        <v>96</v>
      </c>
      <c r="J36" s="65">
        <v>2519999.6</v>
      </c>
      <c r="K36" s="65">
        <v>1700303.15</v>
      </c>
      <c r="L36" s="60">
        <f>H36-J36</f>
        <v>11980000.400000002</v>
      </c>
      <c r="M36" s="65">
        <f>IF(F36=$B$144,L36,IF(F36=$B$146,L36*$C$146/$C$144,IF(F36=$B$145,L36*$C$145/$C$144,IF(F36=$B$147,L36*$C$147/$C$144,IF(F36=$B$143,L36/$C$144)))))</f>
        <v>12019660.455181958</v>
      </c>
      <c r="N36" s="230" t="s">
        <v>93</v>
      </c>
      <c r="O36" s="43"/>
      <c r="Q36" s="23"/>
    </row>
    <row r="37" spans="1:17" ht="94.5" customHeight="1" outlineLevel="1" x14ac:dyDescent="0.25">
      <c r="A37" s="63">
        <v>20</v>
      </c>
      <c r="B37" s="64" t="s">
        <v>97</v>
      </c>
      <c r="C37" s="56" t="s">
        <v>98</v>
      </c>
      <c r="D37" s="87" t="s">
        <v>78</v>
      </c>
      <c r="E37" s="87" t="s">
        <v>99</v>
      </c>
      <c r="F37" s="87" t="s">
        <v>80</v>
      </c>
      <c r="G37" s="189">
        <v>26409000000</v>
      </c>
      <c r="H37" s="65">
        <v>26399286331</v>
      </c>
      <c r="I37" s="66">
        <v>7.4999999999999997E-3</v>
      </c>
      <c r="J37" s="65">
        <v>6491682331.1683521</v>
      </c>
      <c r="K37" s="65">
        <v>2459674627.7574601</v>
      </c>
      <c r="L37" s="67">
        <f t="shared" ref="L37:L46" si="1">H37-J37</f>
        <v>19907603999.83165</v>
      </c>
      <c r="M37" s="65">
        <f>IF(F37=$B$144,L37,IF(F37=$B$146,L37*$C$146/$C$144,IF(F37=$B$145,L37*$C$145/$C$144,IF(F37=$B$147,L37*$C$147/$C$144,IF(F37=$B$143,L37/$C$144)))))</f>
        <v>144006385.13602063</v>
      </c>
      <c r="N37" s="230" t="s">
        <v>100</v>
      </c>
      <c r="O37" s="43"/>
      <c r="Q37" s="23"/>
    </row>
    <row r="38" spans="1:17" ht="51.75" customHeight="1" outlineLevel="1" x14ac:dyDescent="0.25">
      <c r="A38" s="63">
        <v>21</v>
      </c>
      <c r="B38" s="56" t="s">
        <v>33</v>
      </c>
      <c r="C38" s="64" t="s">
        <v>101</v>
      </c>
      <c r="D38" s="64" t="s">
        <v>102</v>
      </c>
      <c r="E38" s="87" t="s">
        <v>103</v>
      </c>
      <c r="F38" s="68" t="s">
        <v>59</v>
      </c>
      <c r="G38" s="65">
        <v>8988290</v>
      </c>
      <c r="H38" s="65">
        <v>8988290</v>
      </c>
      <c r="I38" s="99">
        <v>5.0000000000000001E-3</v>
      </c>
      <c r="J38" s="65">
        <f>4199999.97+600000+600000+289644000/482.74+290820000/484.7+286458000/477.43+600000+600000</f>
        <v>8399999.9699999988</v>
      </c>
      <c r="K38" s="65">
        <v>838542.94244701625</v>
      </c>
      <c r="L38" s="67">
        <f t="shared" si="1"/>
        <v>588290.03000000119</v>
      </c>
      <c r="M38" s="65">
        <f>IF(F38=$B$144,L38,IF(F38=$B$146,L38*$C$146/$C$144,IF(F38=$B$145,L38*$C$145/$C$144,IF(F38=$B$147,L38*$C$147/$C$144,IF(F38=$B$143,L38/$C$144)))))</f>
        <v>588290.03000000119</v>
      </c>
      <c r="N38" s="230" t="s">
        <v>85</v>
      </c>
      <c r="O38" s="43"/>
      <c r="Q38" s="23"/>
    </row>
    <row r="39" spans="1:17" ht="63.75" customHeight="1" outlineLevel="1" x14ac:dyDescent="0.25">
      <c r="A39" s="63">
        <v>22</v>
      </c>
      <c r="B39" s="56" t="s">
        <v>104</v>
      </c>
      <c r="C39" s="64" t="s">
        <v>101</v>
      </c>
      <c r="D39" s="64" t="s">
        <v>105</v>
      </c>
      <c r="E39" s="65" t="s">
        <v>106</v>
      </c>
      <c r="F39" s="98" t="s">
        <v>3</v>
      </c>
      <c r="G39" s="65">
        <v>1757100000</v>
      </c>
      <c r="H39" s="65">
        <v>1757100000</v>
      </c>
      <c r="I39" s="66">
        <v>7.4999999999999997E-3</v>
      </c>
      <c r="J39" s="65">
        <f>439275000+62753571.5+62753571.5+62753571.3+62753571.4+62753571.4+62753571.4+62753571.5</f>
        <v>878549999.99999988</v>
      </c>
      <c r="K39" s="65">
        <v>303383430.5</v>
      </c>
      <c r="L39" s="67">
        <f t="shared" si="1"/>
        <v>878550000.00000012</v>
      </c>
      <c r="M39" s="65">
        <f>IF(F39=$B$144,L39,IF(F39=$B$146,L39*$C$146/$C$144,IF(F39=$B$145,L39*$C$145/$C$144,IF(F39=$B$147,L39*$C$147/$C$144,IF(F39=$B$143,L39/$C$144)))))</f>
        <v>2170491.8842799617</v>
      </c>
      <c r="N39" s="230" t="s">
        <v>85</v>
      </c>
      <c r="O39" s="43"/>
      <c r="Q39" s="23"/>
    </row>
    <row r="40" spans="1:17" ht="63.75" customHeight="1" outlineLevel="1" x14ac:dyDescent="0.25">
      <c r="A40" s="106">
        <v>23</v>
      </c>
      <c r="B40" s="56" t="s">
        <v>104</v>
      </c>
      <c r="C40" s="108" t="s">
        <v>107</v>
      </c>
      <c r="D40" s="64"/>
      <c r="E40" s="65" t="s">
        <v>108</v>
      </c>
      <c r="F40" s="98" t="s">
        <v>3</v>
      </c>
      <c r="G40" s="65">
        <v>18700000000</v>
      </c>
      <c r="H40" s="65">
        <v>18700000000</v>
      </c>
      <c r="I40" s="190">
        <v>7.4999999999999997E-2</v>
      </c>
      <c r="J40" s="65">
        <f>890476190.5</f>
        <v>890476190.5</v>
      </c>
      <c r="K40" s="65">
        <f>1333335616.4+703171232.9+699328767.1</f>
        <v>2735835616.4000001</v>
      </c>
      <c r="L40" s="67">
        <f t="shared" si="1"/>
        <v>17809523809.5</v>
      </c>
      <c r="M40" s="65">
        <f>IF(F40=$B$144,L40,IF(F40=$B$146,L40*$C$146/$C$144,IF(F40=$B$145,L40*$C$145/$C$144,IF(F40=$B$147,L40*$C$147/$C$144,IF(F40=$B$143,L40/$C$144)))))</f>
        <v>43999120.017540827</v>
      </c>
      <c r="N40" s="230" t="s">
        <v>85</v>
      </c>
      <c r="O40" s="43"/>
      <c r="Q40" s="23"/>
    </row>
    <row r="41" spans="1:17" ht="63.75" customHeight="1" outlineLevel="1" x14ac:dyDescent="0.25">
      <c r="A41" s="106">
        <v>24</v>
      </c>
      <c r="B41" s="56" t="s">
        <v>104</v>
      </c>
      <c r="C41" s="108" t="s">
        <v>302</v>
      </c>
      <c r="D41" s="64"/>
      <c r="E41" s="65" t="s">
        <v>278</v>
      </c>
      <c r="F41" s="98" t="s">
        <v>3</v>
      </c>
      <c r="G41" s="65">
        <v>25000000000</v>
      </c>
      <c r="H41" s="65">
        <v>25000000000</v>
      </c>
      <c r="I41" s="190">
        <v>0.09</v>
      </c>
      <c r="J41" s="65"/>
      <c r="K41" s="65">
        <f>1171232876.7+1121917808.3</f>
        <v>2293150685</v>
      </c>
      <c r="L41" s="67">
        <f t="shared" si="1"/>
        <v>25000000000</v>
      </c>
      <c r="M41" s="65">
        <f>IF(F41=$B$144,L41,IF(F41=$B$146,L41*$C$146/$C$144,IF(F41=$B$145,L41*$C$145/$C$144,IF(F41=$B$147,L41*$C$147/$C$144,IF(F41=$B$143,L41/$C$144)))))</f>
        <v>61763470.612940684</v>
      </c>
      <c r="N41" s="230" t="s">
        <v>85</v>
      </c>
      <c r="O41" s="43"/>
      <c r="Q41" s="23"/>
    </row>
    <row r="42" spans="1:17" ht="63.75" customHeight="1" outlineLevel="1" x14ac:dyDescent="0.25">
      <c r="A42" s="106">
        <v>25</v>
      </c>
      <c r="B42" s="56" t="s">
        <v>104</v>
      </c>
      <c r="C42" s="108" t="s">
        <v>281</v>
      </c>
      <c r="D42" s="64"/>
      <c r="E42" s="65" t="s">
        <v>282</v>
      </c>
      <c r="F42" s="98" t="s">
        <v>3</v>
      </c>
      <c r="G42" s="65">
        <v>2242223800</v>
      </c>
      <c r="H42" s="65">
        <v>2242223800</v>
      </c>
      <c r="I42" s="191">
        <v>9.1240000000000002E-2</v>
      </c>
      <c r="J42" s="65"/>
      <c r="K42" s="65"/>
      <c r="L42" s="67">
        <f t="shared" si="1"/>
        <v>2242223800</v>
      </c>
      <c r="M42" s="65">
        <f>IF(F42=$B$144,L42,IF(F42=$B$146,L42*$C$146/$C$144,IF(F42=$B$145,L42*$C$145/$C$144,IF(F42=$B$147,L42*$C$147/$C$144,IF(F42=$B$143,L42/$C$144)))))</f>
        <v>5539500.9511574479</v>
      </c>
      <c r="N42" s="230" t="s">
        <v>85</v>
      </c>
      <c r="O42" s="43"/>
      <c r="Q42" s="23"/>
    </row>
    <row r="43" spans="1:17" ht="57.75" customHeight="1" outlineLevel="1" x14ac:dyDescent="0.25">
      <c r="A43" s="78">
        <v>26</v>
      </c>
      <c r="B43" s="179" t="s">
        <v>104</v>
      </c>
      <c r="C43" s="81" t="s">
        <v>109</v>
      </c>
      <c r="D43" s="87" t="s">
        <v>110</v>
      </c>
      <c r="E43" s="192" t="s">
        <v>111</v>
      </c>
      <c r="F43" s="68" t="s">
        <v>59</v>
      </c>
      <c r="G43" s="181">
        <v>270000000</v>
      </c>
      <c r="H43" s="65">
        <v>173574580.28</v>
      </c>
      <c r="I43" s="193">
        <v>0.03</v>
      </c>
      <c r="J43" s="65">
        <v>51199088.700222775</v>
      </c>
      <c r="K43" s="65">
        <v>20309911.275648959</v>
      </c>
      <c r="L43" s="67">
        <f t="shared" si="1"/>
        <v>122375491.57977723</v>
      </c>
      <c r="M43" s="65">
        <f>IF(F43=$B$144,L43,IF(F43=$B$146,L43*$C$146/$C$144,IF(F43=$B$145,L43*$C$145/$C$144,IF(F43=$B$147,L43*$C$147/$C$144,IF(F43=$B$143,L43/$C$144)))))</f>
        <v>122375491.57977723</v>
      </c>
      <c r="N43" s="231" t="s">
        <v>93</v>
      </c>
      <c r="O43" s="43"/>
      <c r="Q43" s="23"/>
    </row>
    <row r="44" spans="1:17" ht="57.75" customHeight="1" outlineLevel="1" x14ac:dyDescent="0.25">
      <c r="A44" s="83"/>
      <c r="B44" s="100"/>
      <c r="C44" s="86"/>
      <c r="D44" s="163"/>
      <c r="E44" s="194"/>
      <c r="F44" s="98" t="s">
        <v>3</v>
      </c>
      <c r="G44" s="182">
        <v>1265847400</v>
      </c>
      <c r="H44" s="65">
        <f>9509488626+108542329</f>
        <v>9618030955</v>
      </c>
      <c r="I44" s="195"/>
      <c r="J44" s="65">
        <v>2858334735.4763155</v>
      </c>
      <c r="K44" s="65">
        <v>1045375895.11175</v>
      </c>
      <c r="L44" s="67">
        <f t="shared" si="1"/>
        <v>6759696219.5236845</v>
      </c>
      <c r="M44" s="65">
        <f>IF(F44=$B$144,L44,IF(F44=$B$146,L44*$C$146/$C$144,IF(F44=$B$145,L44*$C$145/$C$144,IF(F44=$B$147,L44*$C$147/$C$144,IF(F44=$B$143,L44/$C$144)))))</f>
        <v>16700091.952278294</v>
      </c>
      <c r="N44" s="232"/>
      <c r="O44" s="43"/>
      <c r="Q44" s="23"/>
    </row>
    <row r="45" spans="1:17" ht="57.75" customHeight="1" outlineLevel="1" x14ac:dyDescent="0.25">
      <c r="A45" s="63">
        <v>27</v>
      </c>
      <c r="B45" s="56" t="s">
        <v>104</v>
      </c>
      <c r="C45" s="64" t="s">
        <v>112</v>
      </c>
      <c r="D45" s="87"/>
      <c r="E45" s="60" t="s">
        <v>113</v>
      </c>
      <c r="F45" s="167" t="s">
        <v>59</v>
      </c>
      <c r="G45" s="181">
        <v>8550000</v>
      </c>
      <c r="H45" s="65">
        <v>8407384.7100000009</v>
      </c>
      <c r="I45" s="66" t="s">
        <v>114</v>
      </c>
      <c r="J45" s="65"/>
      <c r="K45" s="65">
        <v>1075488.448773416</v>
      </c>
      <c r="L45" s="196">
        <f t="shared" si="1"/>
        <v>8407384.7100000009</v>
      </c>
      <c r="M45" s="65">
        <f>IF(F45=$B$144,L45,IF(F45=$B$146,L45*$C$146/$C$144,IF(F45=$B$145,L45*$C$145/$C$144,IF(F45=$B$147,L45*$C$147/$C$144,IF(F45=$B$143,L45/$C$144)))))</f>
        <v>8407384.7100000009</v>
      </c>
      <c r="N45" s="233" t="s">
        <v>115</v>
      </c>
      <c r="O45" s="43"/>
      <c r="Q45" s="23"/>
    </row>
    <row r="46" spans="1:17" ht="78.75" customHeight="1" outlineLevel="1" thickBot="1" x14ac:dyDescent="0.3">
      <c r="A46" s="63">
        <v>28</v>
      </c>
      <c r="B46" s="57" t="s">
        <v>97</v>
      </c>
      <c r="C46" s="197" t="s">
        <v>112</v>
      </c>
      <c r="D46" s="162"/>
      <c r="E46" s="198" t="s">
        <v>113</v>
      </c>
      <c r="F46" s="199" t="s">
        <v>59</v>
      </c>
      <c r="G46" s="200">
        <v>21450000</v>
      </c>
      <c r="H46" s="65">
        <v>21092210.790000003</v>
      </c>
      <c r="I46" s="66" t="s">
        <v>114</v>
      </c>
      <c r="J46" s="65"/>
      <c r="K46" s="65">
        <v>2688803.610305253</v>
      </c>
      <c r="L46" s="110">
        <f t="shared" si="1"/>
        <v>21092210.790000003</v>
      </c>
      <c r="M46" s="65">
        <f>IF(F46=$B$144,L46,IF(F46=$B$146,L46*$C$146/$C$144,IF(F46=$B$145,L46*$C$145/$C$144,IF(F46=$B$147,L46*$C$147/$C$144,IF(F46=$B$143,L46/$C$144)))))</f>
        <v>21092210.790000003</v>
      </c>
      <c r="N46" s="233" t="s">
        <v>116</v>
      </c>
      <c r="O46" s="43"/>
    </row>
    <row r="47" spans="1:17" s="44" customFormat="1" ht="15" customHeight="1" x14ac:dyDescent="0.25">
      <c r="A47" s="37" t="s">
        <v>125</v>
      </c>
      <c r="B47" s="38"/>
      <c r="C47" s="38"/>
      <c r="D47" s="39" t="s">
        <v>37</v>
      </c>
      <c r="E47" s="39"/>
      <c r="F47" s="40"/>
      <c r="G47" s="41">
        <f>SUMIF($F$5:$F$46,D47,$G$5:$G$46)</f>
        <v>275755742.28000003</v>
      </c>
      <c r="H47" s="41">
        <f>SUMIF($F$5:$F$46,D47,$H$5:$H$46)</f>
        <v>97929055.540000007</v>
      </c>
      <c r="I47" s="41"/>
      <c r="J47" s="41">
        <f>SUMIF($F$5:$F$46,D47,$J$5:$J$46)</f>
        <v>28350263.743892349</v>
      </c>
      <c r="K47" s="41">
        <f>SUMIF($F$5:$F$46,D47,$K$5:$K$46)</f>
        <v>13945674.126921346</v>
      </c>
      <c r="L47" s="41">
        <f>SUMIF($F$5:$F$46,D47,$L$5:$L$46)</f>
        <v>77302840.406107664</v>
      </c>
      <c r="M47" s="41"/>
      <c r="N47" s="234"/>
      <c r="O47" s="43"/>
      <c r="P47" s="43"/>
    </row>
    <row r="48" spans="1:17" s="44" customFormat="1" ht="15" customHeight="1" x14ac:dyDescent="0.25">
      <c r="A48" s="45"/>
      <c r="B48" s="46"/>
      <c r="C48" s="46"/>
      <c r="D48" s="47" t="s">
        <v>3</v>
      </c>
      <c r="E48" s="47"/>
      <c r="F48" s="48"/>
      <c r="G48" s="49">
        <f>SUMIF($F$5:$F$46,D48,$G$5:$G$46)</f>
        <v>50705739545.900002</v>
      </c>
      <c r="H48" s="49">
        <f>SUMIF($F$5:$F$46,D48,$H$5:$H$46)</f>
        <v>69321976650.300003</v>
      </c>
      <c r="I48" s="49"/>
      <c r="J48" s="49">
        <f>SUMIF($F$5:$F$46,D48,$J$5:$J$46)</f>
        <v>5496657126.9763155</v>
      </c>
      <c r="K48" s="49">
        <f>SUMIF($F$5:$F$46,D48,$K$5:$K$46)</f>
        <v>7807613177.2337074</v>
      </c>
      <c r="L48" s="49">
        <f>SUMIF($F$5:$F$46,D48,$L$5:$L$46)</f>
        <v>63825319523.323685</v>
      </c>
      <c r="M48" s="49"/>
      <c r="N48" s="235"/>
      <c r="O48" s="43"/>
      <c r="P48" s="43"/>
    </row>
    <row r="49" spans="1:16" s="44" customFormat="1" ht="15" customHeight="1" x14ac:dyDescent="0.25">
      <c r="A49" s="45"/>
      <c r="B49" s="46"/>
      <c r="C49" s="46"/>
      <c r="D49" s="116" t="s">
        <v>70</v>
      </c>
      <c r="E49" s="117"/>
      <c r="F49" s="48"/>
      <c r="G49" s="49">
        <f>SUMIF($F$5:$F$46,D49,$G$5:$G$46)</f>
        <v>24086688</v>
      </c>
      <c r="H49" s="49">
        <f>SUMIF($F$5:$F$46,D49,$H$5:$H$46)</f>
        <v>18496922.612149809</v>
      </c>
      <c r="I49" s="49"/>
      <c r="J49" s="49">
        <f>SUMIF($F$5:$F$46,D49,$J$5:$J$46)</f>
        <v>2484287.1020153989</v>
      </c>
      <c r="K49" s="49">
        <f>SUMIF($F$5:$F$46,D49,$K$5:$K$46)</f>
        <v>1941310.5462962727</v>
      </c>
      <c r="L49" s="49">
        <f>SUMIF($F$5:$F$46,D49,$L$5:$L$46)</f>
        <v>16012635.51013441</v>
      </c>
      <c r="M49" s="49"/>
      <c r="N49" s="235"/>
      <c r="O49" s="43"/>
      <c r="P49" s="43"/>
    </row>
    <row r="50" spans="1:16" s="44" customFormat="1" ht="15" customHeight="1" x14ac:dyDescent="0.25">
      <c r="A50" s="45"/>
      <c r="B50" s="46"/>
      <c r="C50" s="46"/>
      <c r="D50" s="47" t="s">
        <v>59</v>
      </c>
      <c r="E50" s="47"/>
      <c r="F50" s="48"/>
      <c r="G50" s="49">
        <f>SUMIF($F$5:$F$46,D50,$G$5:$G$46)</f>
        <v>443654882.72000003</v>
      </c>
      <c r="H50" s="49">
        <f>SUMIF($F$5:$F$46,D50,$H$5:$H$46)</f>
        <v>321796493.38999999</v>
      </c>
      <c r="I50" s="49"/>
      <c r="J50" s="49">
        <f>SUMIF($F$5:$F$46,D50,$J$5:$J$46)</f>
        <v>73198536.1628526</v>
      </c>
      <c r="K50" s="49">
        <f>SUMIF($F$5:$F$46,D50,$K$5:$K$46)</f>
        <v>38501603.487161532</v>
      </c>
      <c r="L50" s="49">
        <f>SUMIF($F$5:$F$46,D50,$L$5:$L$46)</f>
        <v>248597957.2271474</v>
      </c>
      <c r="M50" s="49">
        <f>SUM(M5:M46)</f>
        <v>662553123.84959757</v>
      </c>
      <c r="N50" s="235"/>
      <c r="O50" s="43"/>
      <c r="P50" s="43"/>
    </row>
    <row r="51" spans="1:16" s="44" customFormat="1" ht="15" customHeight="1" thickBot="1" x14ac:dyDescent="0.3">
      <c r="A51" s="50"/>
      <c r="B51" s="51"/>
      <c r="C51" s="51"/>
      <c r="D51" s="52" t="s">
        <v>80</v>
      </c>
      <c r="E51" s="52"/>
      <c r="F51" s="53"/>
      <c r="G51" s="201">
        <f>SUMIF($F$5:$F$46,D51,$G$5:$G$46)</f>
        <v>31777311969</v>
      </c>
      <c r="H51" s="201">
        <f>SUMIF($F$5:$F$46,D51,$H$5:$H$46)</f>
        <v>31859249643</v>
      </c>
      <c r="I51" s="201"/>
      <c r="J51" s="201">
        <f>SUMIF($F$5:$F$46,D51,$J$5:$J$46)</f>
        <v>10035698425.228352</v>
      </c>
      <c r="K51" s="201">
        <f>SUMIF($F$5:$F$46,D51,$K$5:$K$46)</f>
        <v>3239737312.940196</v>
      </c>
      <c r="L51" s="201">
        <f>SUMIF($F$5:$F$46,D51,$L$5:$L$46)</f>
        <v>21823551217.771648</v>
      </c>
      <c r="M51" s="201"/>
      <c r="N51" s="236"/>
      <c r="O51" s="43"/>
      <c r="P51" s="43"/>
    </row>
    <row r="52" spans="1:16" ht="78" customHeight="1" outlineLevel="1" x14ac:dyDescent="0.25">
      <c r="A52" s="55">
        <v>29</v>
      </c>
      <c r="B52" s="202" t="s">
        <v>126</v>
      </c>
      <c r="C52" s="57" t="s">
        <v>127</v>
      </c>
      <c r="D52" s="58" t="s">
        <v>128</v>
      </c>
      <c r="E52" s="203" t="s">
        <v>129</v>
      </c>
      <c r="F52" s="167" t="s">
        <v>37</v>
      </c>
      <c r="G52" s="60">
        <v>5000000</v>
      </c>
      <c r="H52" s="60">
        <v>5000000</v>
      </c>
      <c r="I52" s="61" t="s">
        <v>130</v>
      </c>
      <c r="J52" s="60">
        <v>3958333.1924215965</v>
      </c>
      <c r="K52" s="60">
        <v>536748.99</v>
      </c>
      <c r="L52" s="60">
        <f>H52-J52</f>
        <v>1041666.8075784035</v>
      </c>
      <c r="M52" s="60">
        <f>IF(F52=$B$144,L52,IF(F52=$B$146,L52*$C$146/$C$144,IF(F52=$B$145,L52*$C$145/$C$144,IF(F52=$B$143,L52/$C$144))))</f>
        <v>1045115.2684874508</v>
      </c>
      <c r="N52" s="229" t="s">
        <v>85</v>
      </c>
    </row>
    <row r="53" spans="1:16" ht="71.25" customHeight="1" outlineLevel="1" x14ac:dyDescent="0.25">
      <c r="A53" s="106">
        <v>30</v>
      </c>
      <c r="B53" s="107" t="s">
        <v>131</v>
      </c>
      <c r="C53" s="108" t="s">
        <v>132</v>
      </c>
      <c r="D53" s="163" t="s">
        <v>128</v>
      </c>
      <c r="E53" s="204" t="s">
        <v>133</v>
      </c>
      <c r="F53" s="68" t="s">
        <v>37</v>
      </c>
      <c r="G53" s="65">
        <v>5000000</v>
      </c>
      <c r="H53" s="65">
        <v>4731180.3800000008</v>
      </c>
      <c r="I53" s="190" t="s">
        <v>130</v>
      </c>
      <c r="J53" s="65">
        <v>2916666.8302293988</v>
      </c>
      <c r="K53" s="65">
        <v>284643.87</v>
      </c>
      <c r="L53" s="65">
        <f>H53-J53</f>
        <v>1814513.549770602</v>
      </c>
      <c r="M53" s="65">
        <f>IF(F53=$B$144,L53,IF(F53=$B$146,L53*$C$146/$C$144,IF(F53=$B$145,L53*$C$145/$C$144,IF(F53=$B$143,L53/$C$144))))</f>
        <v>1820520.5368415129</v>
      </c>
      <c r="N53" s="230" t="s">
        <v>85</v>
      </c>
    </row>
    <row r="54" spans="1:16" ht="55.5" customHeight="1" outlineLevel="1" x14ac:dyDescent="0.25">
      <c r="A54" s="63">
        <v>31</v>
      </c>
      <c r="B54" s="56" t="s">
        <v>134</v>
      </c>
      <c r="C54" s="64" t="s">
        <v>135</v>
      </c>
      <c r="D54" s="87" t="s">
        <v>136</v>
      </c>
      <c r="E54" s="185" t="s">
        <v>137</v>
      </c>
      <c r="F54" s="68" t="s">
        <v>37</v>
      </c>
      <c r="G54" s="65">
        <v>5000000</v>
      </c>
      <c r="H54" s="65">
        <v>5000000</v>
      </c>
      <c r="I54" s="66" t="s">
        <v>130</v>
      </c>
      <c r="J54" s="65">
        <v>3000000</v>
      </c>
      <c r="K54" s="65">
        <v>487981.14</v>
      </c>
      <c r="L54" s="65">
        <f>H54-J54</f>
        <v>2000000</v>
      </c>
      <c r="M54" s="65">
        <f>IF(F54=$B$144,L54,IF(F54=$B$146,L54*$C$146/$C$144,IF(F54=$B$145,L54*$C$145/$C$144,IF(F54=$B$143,L54/$C$144))))</f>
        <v>2006621.0440497072</v>
      </c>
      <c r="N54" s="230" t="s">
        <v>85</v>
      </c>
    </row>
    <row r="55" spans="1:16" ht="57" customHeight="1" outlineLevel="1" x14ac:dyDescent="0.25">
      <c r="A55" s="78">
        <v>32</v>
      </c>
      <c r="B55" s="179" t="s">
        <v>138</v>
      </c>
      <c r="C55" s="81" t="s">
        <v>139</v>
      </c>
      <c r="D55" s="163" t="s">
        <v>136</v>
      </c>
      <c r="E55" s="204" t="s">
        <v>140</v>
      </c>
      <c r="F55" s="103" t="s">
        <v>37</v>
      </c>
      <c r="G55" s="109">
        <v>5000000</v>
      </c>
      <c r="H55" s="65">
        <v>3000000</v>
      </c>
      <c r="I55" s="191" t="s">
        <v>303</v>
      </c>
      <c r="J55" s="65">
        <v>413793.10344827583</v>
      </c>
      <c r="K55" s="65">
        <v>190669.90215129819</v>
      </c>
      <c r="L55" s="109">
        <f>H55-J55</f>
        <v>2586206.8965517241</v>
      </c>
      <c r="M55" s="109">
        <f>IF(F55=$B$144,L55,IF(F55=$B$146,L55*$C$146/$C$144,IF(F55=$B$145,L55*$C$145/$C$144,IF(F55=$B$143,L55/$C$144))))</f>
        <v>2594768.5914435871</v>
      </c>
      <c r="N55" s="231" t="s">
        <v>85</v>
      </c>
    </row>
    <row r="56" spans="1:16" ht="57" customHeight="1" outlineLevel="1" thickBot="1" x14ac:dyDescent="0.3">
      <c r="A56" s="205"/>
      <c r="B56" s="206"/>
      <c r="C56" s="207"/>
      <c r="D56" s="163" t="s">
        <v>136</v>
      </c>
      <c r="E56" s="204" t="s">
        <v>279</v>
      </c>
      <c r="F56" s="103" t="s">
        <v>3</v>
      </c>
      <c r="G56" s="109"/>
      <c r="H56" s="65">
        <v>119384004.91</v>
      </c>
      <c r="I56" s="191">
        <v>1.404E-2</v>
      </c>
      <c r="J56" s="65">
        <v>4476867.2732057646</v>
      </c>
      <c r="K56" s="65">
        <v>556917.67342579458</v>
      </c>
      <c r="L56" s="109">
        <f>H56-J56</f>
        <v>114907137.63679424</v>
      </c>
      <c r="M56" s="109">
        <f>IF(F56=$B$144,L56,IF(F56=$B$146,L56*$C$146/$C$144,IF(F56=$B$145,L56*$C$145/$C$144,IF(F56=$B$143,L56/$C$144))))</f>
        <v>283882.54474589089</v>
      </c>
      <c r="N56" s="237"/>
    </row>
    <row r="57" spans="1:16" s="44" customFormat="1" ht="15" customHeight="1" x14ac:dyDescent="0.25">
      <c r="A57" s="37" t="s">
        <v>141</v>
      </c>
      <c r="B57" s="38"/>
      <c r="C57" s="38"/>
      <c r="D57" s="39" t="s">
        <v>37</v>
      </c>
      <c r="E57" s="39"/>
      <c r="F57" s="40"/>
      <c r="G57" s="41">
        <f>SUMIF($F$52:$F$56,D57,$G$52:$G$56)</f>
        <v>20000000</v>
      </c>
      <c r="H57" s="41">
        <f>SUMIF($F$52:$F$56,D57,$H$52:$H$56)</f>
        <v>17731180.380000003</v>
      </c>
      <c r="I57" s="42"/>
      <c r="J57" s="41">
        <f>SUMIF($F$52:$F$56,D57,$J$52:$J$56)</f>
        <v>10288793.12609927</v>
      </c>
      <c r="K57" s="41">
        <f>SUMIF($F$52:$F$56,D57,$K$52:$K$56)</f>
        <v>1500043.9021512982</v>
      </c>
      <c r="L57" s="41">
        <f>SUMIF($F$52:$F$56,D57,$L$52:$L$56)</f>
        <v>7442387.2539007291</v>
      </c>
      <c r="M57" s="42"/>
      <c r="N57" s="234"/>
      <c r="O57" s="43"/>
      <c r="P57" s="43"/>
    </row>
    <row r="58" spans="1:16" s="44" customFormat="1" ht="15" customHeight="1" x14ac:dyDescent="0.25">
      <c r="A58" s="45"/>
      <c r="B58" s="46"/>
      <c r="C58" s="46"/>
      <c r="D58" s="47" t="s">
        <v>3</v>
      </c>
      <c r="E58" s="47"/>
      <c r="F58" s="48"/>
      <c r="G58" s="49">
        <f>SUMIF($F$52:$F$56,D58,$G$52:$G$56)</f>
        <v>0</v>
      </c>
      <c r="H58" s="49">
        <f>SUMIF($F$52:$F$56,D58,$H$52:$H$56)</f>
        <v>119384004.91</v>
      </c>
      <c r="I58" s="49"/>
      <c r="J58" s="49">
        <f>SUMIF($F$52:$F$56,D58,$J$52:$J$56)</f>
        <v>4476867.2732057646</v>
      </c>
      <c r="K58" s="49">
        <f>SUMIF($F$52:$F$56,D58,$K$52:$K$56)</f>
        <v>556917.67342579458</v>
      </c>
      <c r="L58" s="49">
        <f>SUMIF($F$52:$F$56,D58,$L$52:$L$56)</f>
        <v>114907137.63679424</v>
      </c>
      <c r="M58" s="49"/>
      <c r="N58" s="235"/>
      <c r="O58" s="43"/>
      <c r="P58" s="43"/>
    </row>
    <row r="59" spans="1:16" s="44" customFormat="1" ht="15" customHeight="1" x14ac:dyDescent="0.25">
      <c r="A59" s="45"/>
      <c r="B59" s="46"/>
      <c r="C59" s="46"/>
      <c r="D59" s="47" t="s">
        <v>59</v>
      </c>
      <c r="E59" s="47"/>
      <c r="F59" s="48"/>
      <c r="G59" s="49">
        <f>SUMIF($F$52:$F$56,D59,$G$52:$G$56)</f>
        <v>0</v>
      </c>
      <c r="H59" s="49">
        <f>SUMIF($F$52:$F$56,D59,$H$52:$H$56)</f>
        <v>0</v>
      </c>
      <c r="I59" s="49"/>
      <c r="J59" s="49">
        <f>SUMIF($F$52:$F$56,D59,$J$52:$J$56)</f>
        <v>0</v>
      </c>
      <c r="K59" s="49">
        <f>SUMIF($F$52:$F$56,D59,$K$52:$K$56)</f>
        <v>0</v>
      </c>
      <c r="L59" s="49">
        <f>SUMIF($F$52:$F$56,D59,$L$52:$L$56)</f>
        <v>0</v>
      </c>
      <c r="M59" s="49">
        <f>SUM(M52:M56)</f>
        <v>7750907.985568149</v>
      </c>
      <c r="N59" s="235"/>
      <c r="O59" s="43"/>
      <c r="P59" s="43"/>
    </row>
    <row r="60" spans="1:16" s="44" customFormat="1" ht="15" customHeight="1" thickBot="1" x14ac:dyDescent="0.3">
      <c r="A60" s="50"/>
      <c r="B60" s="51"/>
      <c r="C60" s="51"/>
      <c r="D60" s="52" t="s">
        <v>80</v>
      </c>
      <c r="E60" s="52"/>
      <c r="F60" s="53"/>
      <c r="G60" s="54">
        <f>SUMIF($F$52:$F$56,D60,$G$52:$G$56)</f>
        <v>0</v>
      </c>
      <c r="H60" s="54">
        <f>SUMIF($F$52:$F$56,D60,$H$52:$H$56)</f>
        <v>0</v>
      </c>
      <c r="I60" s="54"/>
      <c r="J60" s="54">
        <f>SUMIF($F$52:$F$56,D60,$J$52:$J$56)</f>
        <v>0</v>
      </c>
      <c r="K60" s="54">
        <f>SUMIF($F$52:$F$56,D60,$K$52:$K$56)</f>
        <v>0</v>
      </c>
      <c r="L60" s="54">
        <f>SUMIF($F$52:$F$56,D60,$L$52:$L$56)</f>
        <v>0</v>
      </c>
      <c r="M60" s="54"/>
      <c r="N60" s="236"/>
      <c r="O60" s="43"/>
      <c r="P60" s="43"/>
    </row>
    <row r="61" spans="1:16" s="36" customFormat="1" ht="91.5" customHeight="1" outlineLevel="1" x14ac:dyDescent="0.25">
      <c r="A61" s="55">
        <v>33</v>
      </c>
      <c r="B61" s="56" t="s">
        <v>142</v>
      </c>
      <c r="C61" s="57" t="s">
        <v>143</v>
      </c>
      <c r="D61" s="58" t="s">
        <v>110</v>
      </c>
      <c r="E61" s="59" t="s">
        <v>144</v>
      </c>
      <c r="F61" s="57" t="s">
        <v>3</v>
      </c>
      <c r="G61" s="60">
        <v>74000000000</v>
      </c>
      <c r="H61" s="65">
        <v>74000000000</v>
      </c>
      <c r="I61" s="61" t="s">
        <v>145</v>
      </c>
      <c r="J61" s="62">
        <f>38761904762.2+1761904761.9+1761904761.9+1761904761.9+1761904761.9+1761904761.9+1761904761.9+1761904761.9+1761904761.9+1761904761.9+1761904761.9+1761904761.9+1761904761.9+1761904761.9</f>
        <v>61666666666.900017</v>
      </c>
      <c r="K61" s="62">
        <v>27339833897.700001</v>
      </c>
      <c r="L61" s="62">
        <f t="shared" ref="L61:L67" si="2">H61-J61</f>
        <v>12333333333.099983</v>
      </c>
      <c r="M61" s="60">
        <f>IF(F61=$B$144,L61,IF(F61=$B$146,L61*$C$146/$C$144,IF(F61=$B$145,L61*$C$145/$C$144,IF(F61=$B$143,L61/$C$144))))</f>
        <v>30469978.835140903</v>
      </c>
      <c r="N61" s="229" t="s">
        <v>85</v>
      </c>
      <c r="O61" s="35"/>
      <c r="P61" s="35"/>
    </row>
    <row r="62" spans="1:16" s="36" customFormat="1" ht="91.5" customHeight="1" outlineLevel="1" x14ac:dyDescent="0.25">
      <c r="A62" s="63">
        <v>34</v>
      </c>
      <c r="B62" s="64" t="s">
        <v>142</v>
      </c>
      <c r="C62" s="64" t="s">
        <v>146</v>
      </c>
      <c r="D62" s="64" t="s">
        <v>304</v>
      </c>
      <c r="E62" s="64" t="s">
        <v>147</v>
      </c>
      <c r="F62" s="64" t="s">
        <v>3</v>
      </c>
      <c r="G62" s="65">
        <v>2035890300</v>
      </c>
      <c r="H62" s="65">
        <v>2035890300</v>
      </c>
      <c r="I62" s="66" t="s">
        <v>52</v>
      </c>
      <c r="J62" s="65">
        <v>0</v>
      </c>
      <c r="K62" s="65">
        <v>0</v>
      </c>
      <c r="L62" s="67">
        <f t="shared" si="2"/>
        <v>2035890300</v>
      </c>
      <c r="M62" s="65">
        <f>IF(F62=$B$144,L62,IF(F62=$B$146,L62*$C$146/$C$144,IF(F62=$B$145,L62*$C$145/$C$144,IF(F62=$B$143,L62/$C$144))))</f>
        <v>5029746.02860884</v>
      </c>
      <c r="N62" s="230" t="s">
        <v>85</v>
      </c>
      <c r="O62" s="35"/>
      <c r="P62" s="35"/>
    </row>
    <row r="63" spans="1:16" ht="121.5" outlineLevel="1" x14ac:dyDescent="0.25">
      <c r="A63" s="55">
        <v>35</v>
      </c>
      <c r="B63" s="56" t="s">
        <v>148</v>
      </c>
      <c r="C63" s="64" t="s">
        <v>149</v>
      </c>
      <c r="D63" s="87" t="s">
        <v>35</v>
      </c>
      <c r="E63" s="87" t="s">
        <v>150</v>
      </c>
      <c r="F63" s="68" t="s">
        <v>37</v>
      </c>
      <c r="G63" s="65">
        <v>3500000</v>
      </c>
      <c r="H63" s="65">
        <v>3500000</v>
      </c>
      <c r="I63" s="66">
        <v>7.4999999999999997E-3</v>
      </c>
      <c r="J63" s="65">
        <f>696000+31440060/542.07+58000</f>
        <v>812000</v>
      </c>
      <c r="K63" s="65">
        <f>399592.922231146+10515+10297.5</f>
        <v>420405.42223114602</v>
      </c>
      <c r="L63" s="67">
        <f t="shared" si="2"/>
        <v>2688000</v>
      </c>
      <c r="M63" s="65">
        <f>IF(F63=$B$144,L63,IF(F63=$B$146,L63*$C$146/$C$144,IF(F63=$B$145,L63*$C$145/$C$144,IF(F63=$B$143,L63/$C$144))))</f>
        <v>2696898.6832028069</v>
      </c>
      <c r="N63" s="230" t="s">
        <v>85</v>
      </c>
    </row>
    <row r="64" spans="1:16" ht="69" customHeight="1" outlineLevel="1" x14ac:dyDescent="0.25">
      <c r="A64" s="63">
        <v>36</v>
      </c>
      <c r="B64" s="56" t="s">
        <v>151</v>
      </c>
      <c r="C64" s="64" t="s">
        <v>152</v>
      </c>
      <c r="D64" s="64" t="s">
        <v>153</v>
      </c>
      <c r="E64" s="87" t="s">
        <v>154</v>
      </c>
      <c r="F64" s="68" t="s">
        <v>59</v>
      </c>
      <c r="G64" s="67">
        <v>1689937.9</v>
      </c>
      <c r="H64" s="65">
        <v>1689937.9</v>
      </c>
      <c r="I64" s="188">
        <v>5.9900000000000002E-2</v>
      </c>
      <c r="J64" s="65">
        <f>788166.37+28165</f>
        <v>816331.37</v>
      </c>
      <c r="K64" s="65">
        <f>1910586.5+27294.41</f>
        <v>1937880.91</v>
      </c>
      <c r="L64" s="67">
        <f t="shared" si="2"/>
        <v>873606.52999999991</v>
      </c>
      <c r="M64" s="65">
        <f>IF(F64=$B$144,L64,IF(F64=$B$146,L64*$C$146/$C$144,IF(F64=$B$145,L64*$C$145/$C$144,IF(F64=$B$143,L64/$C$144))))</f>
        <v>873606.52999999991</v>
      </c>
      <c r="N64" s="238" t="s">
        <v>85</v>
      </c>
    </row>
    <row r="65" spans="1:16" ht="69.75" customHeight="1" outlineLevel="1" x14ac:dyDescent="0.25">
      <c r="A65" s="55">
        <v>37</v>
      </c>
      <c r="B65" s="56" t="s">
        <v>155</v>
      </c>
      <c r="C65" s="64" t="s">
        <v>156</v>
      </c>
      <c r="D65" s="64" t="s">
        <v>153</v>
      </c>
      <c r="E65" s="87" t="s">
        <v>157</v>
      </c>
      <c r="F65" s="68" t="s">
        <v>59</v>
      </c>
      <c r="G65" s="67">
        <v>2828000</v>
      </c>
      <c r="H65" s="65">
        <v>2828000</v>
      </c>
      <c r="I65" s="188">
        <v>5.9900000000000002E-2</v>
      </c>
      <c r="J65" s="65">
        <v>1034862.3300000001</v>
      </c>
      <c r="K65" s="65">
        <v>2809458.7800000007</v>
      </c>
      <c r="L65" s="67">
        <f t="shared" si="2"/>
        <v>1793137.67</v>
      </c>
      <c r="M65" s="65">
        <f>IF(F65=$B$144,L65,IF(F65=$B$146,L65*$C$146/$C$144,IF(F65=$B$145,L65*$C$145/$C$144,IF(F65=$B$143,L65/$C$144))))</f>
        <v>1793137.67</v>
      </c>
      <c r="N65" s="238" t="s">
        <v>85</v>
      </c>
    </row>
    <row r="66" spans="1:16" s="92" customFormat="1" ht="177" customHeight="1" outlineLevel="1" x14ac:dyDescent="0.2">
      <c r="A66" s="63">
        <v>38</v>
      </c>
      <c r="B66" s="56" t="s">
        <v>158</v>
      </c>
      <c r="C66" s="64" t="s">
        <v>159</v>
      </c>
      <c r="D66" s="64" t="s">
        <v>153</v>
      </c>
      <c r="E66" s="87" t="s">
        <v>160</v>
      </c>
      <c r="F66" s="64" t="s">
        <v>3</v>
      </c>
      <c r="G66" s="89">
        <v>2092000000</v>
      </c>
      <c r="H66" s="65">
        <v>2092000000</v>
      </c>
      <c r="I66" s="208">
        <v>0.02</v>
      </c>
      <c r="J66" s="65">
        <v>354576270</v>
      </c>
      <c r="K66" s="65">
        <v>428638211.8599999</v>
      </c>
      <c r="L66" s="67">
        <f t="shared" si="2"/>
        <v>1737423730</v>
      </c>
      <c r="M66" s="65">
        <f>IF(F66=$B$144,L66,IF(F66=$B$146,L66*$C$146/$C$144,IF(F66=$B$145,L66*$C$145/$C$144,IF(F66=$B$143,L66/$C$144))))</f>
        <v>4292372.7796032317</v>
      </c>
      <c r="N66" s="238" t="s">
        <v>85</v>
      </c>
      <c r="O66" s="91"/>
      <c r="P66" s="91"/>
    </row>
    <row r="67" spans="1:16" s="92" customFormat="1" ht="169.5" customHeight="1" outlineLevel="1" thickBot="1" x14ac:dyDescent="0.25">
      <c r="A67" s="55">
        <v>39</v>
      </c>
      <c r="B67" s="56" t="s">
        <v>158</v>
      </c>
      <c r="C67" s="64" t="s">
        <v>161</v>
      </c>
      <c r="D67" s="64" t="s">
        <v>153</v>
      </c>
      <c r="E67" s="87" t="s">
        <v>162</v>
      </c>
      <c r="F67" s="87" t="s">
        <v>3</v>
      </c>
      <c r="G67" s="89">
        <v>2187306400</v>
      </c>
      <c r="H67" s="89">
        <v>2187306400</v>
      </c>
      <c r="I67" s="208">
        <v>0.03</v>
      </c>
      <c r="J67" s="65">
        <v>0</v>
      </c>
      <c r="K67" s="65">
        <v>224789707.90000001</v>
      </c>
      <c r="L67" s="67">
        <f t="shared" si="2"/>
        <v>2187306400</v>
      </c>
      <c r="M67" s="65">
        <f>IF(F67=$B$144,L67,IF(F67=$B$146,L67*$C$146/$C$144,IF(F67=$B$145,L67*$C$145/$C$144,IF(F67=$B$143,L67/$C$144))))</f>
        <v>5403825.3823158834</v>
      </c>
      <c r="N67" s="238" t="s">
        <v>85</v>
      </c>
      <c r="O67" s="91"/>
      <c r="P67" s="91"/>
    </row>
    <row r="68" spans="1:16" s="44" customFormat="1" ht="15" customHeight="1" x14ac:dyDescent="0.25">
      <c r="A68" s="37" t="s">
        <v>163</v>
      </c>
      <c r="B68" s="38"/>
      <c r="C68" s="38"/>
      <c r="D68" s="39" t="s">
        <v>37</v>
      </c>
      <c r="E68" s="39"/>
      <c r="F68" s="40"/>
      <c r="G68" s="42">
        <f>SUMIF($F$61:$F$67,D68,$G$61:$G$67)</f>
        <v>3500000</v>
      </c>
      <c r="H68" s="42">
        <f>SUMIF($F$61:$F$67,D68,$H$61:$H$67)</f>
        <v>3500000</v>
      </c>
      <c r="I68" s="42"/>
      <c r="J68" s="42">
        <f>SUMIF($F$61:$F$67,D68,$J$61:$J$67)</f>
        <v>812000</v>
      </c>
      <c r="K68" s="42">
        <f>SUMIF($F$61:$F$67,D68,$K$61:$K$67)</f>
        <v>420405.42223114602</v>
      </c>
      <c r="L68" s="42">
        <f>SUMIF($F$61:$F$67,D68,$L$61:$L$67)</f>
        <v>2688000</v>
      </c>
      <c r="M68" s="42"/>
      <c r="N68" s="234"/>
      <c r="O68" s="43"/>
      <c r="P68" s="43"/>
    </row>
    <row r="69" spans="1:16" s="44" customFormat="1" ht="15" customHeight="1" x14ac:dyDescent="0.25">
      <c r="A69" s="45"/>
      <c r="B69" s="46"/>
      <c r="C69" s="46"/>
      <c r="D69" s="47" t="s">
        <v>3</v>
      </c>
      <c r="E69" s="47"/>
      <c r="F69" s="48"/>
      <c r="G69" s="49">
        <f>SUMIF($F$61:$F$67,D69,$G$61:$G$67)</f>
        <v>80315196700</v>
      </c>
      <c r="H69" s="49">
        <f>SUMIF($F$61:$F$67,D69,$H$61:$H$67)</f>
        <v>80315196700</v>
      </c>
      <c r="I69" s="49"/>
      <c r="J69" s="49">
        <f>SUMIF($F$61:$F$67,D69,$J$61:$J$67)</f>
        <v>62021242936.900017</v>
      </c>
      <c r="K69" s="49">
        <f>SUMIF($F$61:$F$67,D69,$K$61:$K$67)</f>
        <v>27993261817.460003</v>
      </c>
      <c r="L69" s="49">
        <f>SUMIF($F$61:$F$67,D69,$L$61:$L$67)</f>
        <v>18293953763.099983</v>
      </c>
      <c r="M69" s="49"/>
      <c r="N69" s="235"/>
      <c r="O69" s="43"/>
      <c r="P69" s="43"/>
    </row>
    <row r="70" spans="1:16" s="44" customFormat="1" ht="15" customHeight="1" x14ac:dyDescent="0.25">
      <c r="A70" s="45"/>
      <c r="B70" s="46"/>
      <c r="C70" s="46"/>
      <c r="D70" s="47" t="s">
        <v>59</v>
      </c>
      <c r="E70" s="47"/>
      <c r="F70" s="48"/>
      <c r="G70" s="49">
        <f>SUMIF($F$61:$F$67,D70,$G$61:$G$67)</f>
        <v>4517937.9000000004</v>
      </c>
      <c r="H70" s="49">
        <f>SUMIF($F$61:$F$67,D70,$H$61:$H$67)</f>
        <v>4517937.9000000004</v>
      </c>
      <c r="I70" s="49"/>
      <c r="J70" s="49">
        <f>SUMIF($F$61:$F$67,D70,$J$61:$J$67)</f>
        <v>1851193.7000000002</v>
      </c>
      <c r="K70" s="49">
        <f>SUMIF($F$61:$F$67,D70,$K$61:$K$67)</f>
        <v>4747339.6900000004</v>
      </c>
      <c r="L70" s="49">
        <f>SUMIF($F$61:$F$67,D70,$L$61:$L$67)</f>
        <v>2666744.1999999997</v>
      </c>
      <c r="M70" s="49">
        <f>SUM(M61:M67)</f>
        <v>50559565.908871658</v>
      </c>
      <c r="N70" s="235"/>
      <c r="O70" s="43"/>
      <c r="P70" s="43"/>
    </row>
    <row r="71" spans="1:16" s="44" customFormat="1" ht="15" customHeight="1" thickBot="1" x14ac:dyDescent="0.3">
      <c r="A71" s="50"/>
      <c r="B71" s="51"/>
      <c r="C71" s="51"/>
      <c r="D71" s="52" t="s">
        <v>80</v>
      </c>
      <c r="E71" s="52"/>
      <c r="F71" s="53"/>
      <c r="G71" s="54">
        <f>SUMIF($F$61:$F$67,D71,$G$61:$G$67)</f>
        <v>0</v>
      </c>
      <c r="H71" s="54">
        <f>SUMIF($F$61:$F$67,D71,$H$61:$H$67)</f>
        <v>0</v>
      </c>
      <c r="I71" s="54"/>
      <c r="J71" s="54">
        <f>SUMIF($F$61:$F$67,D71,$J$61:$J$67)</f>
        <v>0</v>
      </c>
      <c r="K71" s="54">
        <f>SUMIF($F$61:$F$67,D71,$K$61:$K$67)</f>
        <v>0</v>
      </c>
      <c r="L71" s="54">
        <f>SUMIF($F$61:$F$67,D71,$L$61:$L$67)</f>
        <v>0</v>
      </c>
      <c r="M71" s="54"/>
      <c r="N71" s="236"/>
      <c r="O71" s="43"/>
      <c r="P71" s="43"/>
    </row>
    <row r="72" spans="1:16" s="36" customFormat="1" ht="77.25" customHeight="1" outlineLevel="1" x14ac:dyDescent="0.25">
      <c r="A72" s="63">
        <v>40</v>
      </c>
      <c r="B72" s="56" t="s">
        <v>164</v>
      </c>
      <c r="C72" s="64" t="s">
        <v>165</v>
      </c>
      <c r="D72" s="64" t="s">
        <v>102</v>
      </c>
      <c r="E72" s="64" t="s">
        <v>166</v>
      </c>
      <c r="F72" s="68" t="s">
        <v>59</v>
      </c>
      <c r="G72" s="65">
        <v>361332</v>
      </c>
      <c r="H72" s="65">
        <v>361332</v>
      </c>
      <c r="I72" s="66">
        <v>7.7700000000000005E-2</v>
      </c>
      <c r="J72" s="65">
        <f>162402.753184719+8510000/490.37</f>
        <v>179756.99589940385</v>
      </c>
      <c r="K72" s="65">
        <v>187530</v>
      </c>
      <c r="L72" s="67">
        <f>H72-J72</f>
        <v>181575.00410059615</v>
      </c>
      <c r="M72" s="69">
        <f>IF(F72=$B$144,L72,IF(F72=$B$146,L72*$C$146/$C$144,IF(F72=$B$145,L72*$C$145/$C$144,IF(F72=$B$143,L72/$C$144))))</f>
        <v>181575.00410059615</v>
      </c>
      <c r="N72" s="230" t="s">
        <v>167</v>
      </c>
      <c r="O72" s="35"/>
      <c r="P72" s="35"/>
    </row>
    <row r="73" spans="1:16" s="77" customFormat="1" ht="64.5" customHeight="1" outlineLevel="1" x14ac:dyDescent="0.25">
      <c r="A73" s="63">
        <v>41</v>
      </c>
      <c r="B73" s="70" t="s">
        <v>168</v>
      </c>
      <c r="C73" s="71" t="s">
        <v>169</v>
      </c>
      <c r="D73" s="72" t="s">
        <v>128</v>
      </c>
      <c r="E73" s="73" t="s">
        <v>170</v>
      </c>
      <c r="F73" s="74" t="s">
        <v>37</v>
      </c>
      <c r="G73" s="73">
        <v>8000000</v>
      </c>
      <c r="H73" s="73">
        <v>80000</v>
      </c>
      <c r="I73" s="75" t="s">
        <v>52</v>
      </c>
      <c r="J73" s="73">
        <f>10909.09+3636.36+3636.36</f>
        <v>18181.810000000001</v>
      </c>
      <c r="K73" s="73">
        <f>105386.95+361.72+42360.02</f>
        <v>148108.69</v>
      </c>
      <c r="L73" s="67">
        <f>H73-J73</f>
        <v>61818.19</v>
      </c>
      <c r="M73" s="69">
        <f>IF(F73=$B$144,L73,IF(F73=$B$146,L73*$C$146/$C$144,IF(F73=$B$145,L73*$C$145/$C$144,IF(F73=$B$143,L73/$C$144))))</f>
        <v>62022.840479531587</v>
      </c>
      <c r="N73" s="239" t="s">
        <v>171</v>
      </c>
      <c r="O73" s="76"/>
      <c r="P73" s="35"/>
    </row>
    <row r="74" spans="1:16" s="77" customFormat="1" ht="53.25" customHeight="1" outlineLevel="1" x14ac:dyDescent="0.25">
      <c r="A74" s="63">
        <v>42</v>
      </c>
      <c r="B74" s="70" t="s">
        <v>168</v>
      </c>
      <c r="C74" s="71" t="s">
        <v>172</v>
      </c>
      <c r="D74" s="72" t="s">
        <v>136</v>
      </c>
      <c r="E74" s="73" t="s">
        <v>170</v>
      </c>
      <c r="F74" s="74" t="s">
        <v>37</v>
      </c>
      <c r="G74" s="73">
        <v>8000000</v>
      </c>
      <c r="H74" s="73"/>
      <c r="I74" s="75" t="s">
        <v>52</v>
      </c>
      <c r="J74" s="73"/>
      <c r="K74" s="73"/>
      <c r="L74" s="67">
        <f>H74-J74</f>
        <v>0</v>
      </c>
      <c r="M74" s="69">
        <f>IF(F74=$B$144,L74,IF(F74=$B$146,L74*$C$146/$C$144,IF(F74=$B$145,L74*$C$145/$C$144,IF(F74=$B$143,L74/$C$144))))</f>
        <v>0</v>
      </c>
      <c r="N74" s="239" t="s">
        <v>171</v>
      </c>
      <c r="O74" s="76"/>
      <c r="P74" s="35"/>
    </row>
    <row r="75" spans="1:16" s="77" customFormat="1" ht="53.25" customHeight="1" outlineLevel="1" x14ac:dyDescent="0.25">
      <c r="A75" s="78">
        <v>43</v>
      </c>
      <c r="B75" s="79" t="s">
        <v>173</v>
      </c>
      <c r="C75" s="80" t="s">
        <v>277</v>
      </c>
      <c r="D75" s="72"/>
      <c r="E75" s="81" t="s">
        <v>305</v>
      </c>
      <c r="F75" s="74" t="s">
        <v>37</v>
      </c>
      <c r="G75" s="73">
        <v>5500000</v>
      </c>
      <c r="H75" s="73">
        <v>812833.71</v>
      </c>
      <c r="I75" s="75" t="s">
        <v>52</v>
      </c>
      <c r="J75" s="73"/>
      <c r="K75" s="73"/>
      <c r="L75" s="82">
        <f t="shared" ref="L75:L81" si="3">H75-J75</f>
        <v>812833.71</v>
      </c>
      <c r="M75" s="69">
        <f>IF(F75=$B$144,L75,IF(F75=$B$146,L75*$C$146/$C$144,IF(F75=$B$145,L75*$C$145/$C$144,IF(F75=$B$143,L75/$C$144))))</f>
        <v>815524.6138994986</v>
      </c>
      <c r="N75" s="230" t="s">
        <v>85</v>
      </c>
      <c r="O75" s="76"/>
      <c r="P75" s="35"/>
    </row>
    <row r="76" spans="1:16" s="77" customFormat="1" ht="53.25" customHeight="1" outlineLevel="1" x14ac:dyDescent="0.25">
      <c r="A76" s="83"/>
      <c r="B76" s="84"/>
      <c r="C76" s="85"/>
      <c r="D76" s="72"/>
      <c r="E76" s="86"/>
      <c r="F76" s="87" t="s">
        <v>3</v>
      </c>
      <c r="G76" s="73">
        <v>92733053.200000003</v>
      </c>
      <c r="H76" s="73">
        <f>92733053.2+20276600+1679251+16492341.9</f>
        <v>131181246.10000001</v>
      </c>
      <c r="I76" s="75"/>
      <c r="J76" s="73"/>
      <c r="K76" s="73"/>
      <c r="L76" s="82">
        <f t="shared" si="3"/>
        <v>131181246.10000001</v>
      </c>
      <c r="M76" s="69">
        <f>IF(F76=$B$144,L76,IF(F76=$B$146,L76*$C$146/$C$144,IF(F76=$B$145,L76*$C$145/$C$144,IF(F76=$B$143,L76/$C$144))))</f>
        <v>324088.36153865163</v>
      </c>
      <c r="N76" s="230"/>
      <c r="O76" s="76"/>
      <c r="P76" s="35"/>
    </row>
    <row r="77" spans="1:16" ht="54" outlineLevel="1" x14ac:dyDescent="0.25">
      <c r="A77" s="63">
        <v>44</v>
      </c>
      <c r="B77" s="56" t="s">
        <v>174</v>
      </c>
      <c r="C77" s="64" t="s">
        <v>175</v>
      </c>
      <c r="D77" s="64" t="s">
        <v>123</v>
      </c>
      <c r="E77" s="65" t="s">
        <v>176</v>
      </c>
      <c r="F77" s="87" t="s">
        <v>3</v>
      </c>
      <c r="G77" s="65">
        <v>249300000</v>
      </c>
      <c r="H77" s="65">
        <v>249300000</v>
      </c>
      <c r="I77" s="99">
        <v>1E-3</v>
      </c>
      <c r="J77" s="65">
        <v>42881892.899999999</v>
      </c>
      <c r="K77" s="65">
        <v>528153.5</v>
      </c>
      <c r="L77" s="67">
        <f t="shared" si="3"/>
        <v>206418107.09999999</v>
      </c>
      <c r="M77" s="60">
        <f>IF(F77=$B$144,L77,IF(F77=$B$146,L77*$C$146/$C$144,IF(F77=$B$145,L77*$C$145/$C$144,IF(F77=$B$143,L77/$C$144))))</f>
        <v>509963.94767398771</v>
      </c>
      <c r="N77" s="230" t="s">
        <v>85</v>
      </c>
      <c r="P77" s="35"/>
    </row>
    <row r="78" spans="1:16" ht="136.5" customHeight="1" outlineLevel="1" x14ac:dyDescent="0.25">
      <c r="A78" s="63">
        <v>45</v>
      </c>
      <c r="B78" s="56" t="s">
        <v>117</v>
      </c>
      <c r="C78" s="64" t="s">
        <v>118</v>
      </c>
      <c r="D78" s="87" t="s">
        <v>110</v>
      </c>
      <c r="E78" s="65" t="s">
        <v>119</v>
      </c>
      <c r="F78" s="68" t="s">
        <v>59</v>
      </c>
      <c r="G78" s="65">
        <v>4000000</v>
      </c>
      <c r="H78" s="65">
        <v>664584.16999999993</v>
      </c>
      <c r="I78" s="66" t="s">
        <v>52</v>
      </c>
      <c r="J78" s="65">
        <v>332134.3022020575</v>
      </c>
      <c r="K78" s="65">
        <v>156652.18</v>
      </c>
      <c r="L78" s="110">
        <f>H78-J78</f>
        <v>332449.86779794242</v>
      </c>
      <c r="M78" s="65">
        <f>IF(F78=$B$144,L78,IF(F78=$B$146,L78*$C$146/$C$144,IF(F78=$B$145,L78*$C$145/$C$144,IF(F78=$B$147,L78*$C$147/$C$144,IF(F78=$B$143,L78/$C$144)))))</f>
        <v>332449.86779794242</v>
      </c>
      <c r="N78" s="230" t="s">
        <v>120</v>
      </c>
      <c r="P78" s="35"/>
    </row>
    <row r="79" spans="1:16" s="92" customFormat="1" ht="132.75" customHeight="1" outlineLevel="1" x14ac:dyDescent="0.25">
      <c r="A79" s="63">
        <v>46</v>
      </c>
      <c r="B79" s="56" t="s">
        <v>177</v>
      </c>
      <c r="C79" s="64" t="s">
        <v>143</v>
      </c>
      <c r="D79" s="87" t="s">
        <v>110</v>
      </c>
      <c r="E79" s="87" t="s">
        <v>325</v>
      </c>
      <c r="F79" s="87" t="s">
        <v>3</v>
      </c>
      <c r="G79" s="89">
        <v>50600000</v>
      </c>
      <c r="H79" s="65">
        <v>50600000</v>
      </c>
      <c r="I79" s="56" t="s">
        <v>178</v>
      </c>
      <c r="J79" s="65"/>
      <c r="K79" s="65"/>
      <c r="L79" s="89">
        <f t="shared" si="3"/>
        <v>50600000</v>
      </c>
      <c r="M79" s="60">
        <f>IF(F79=$B$144,L79,IF(F79=$B$146,L79*$C$146/$C$144,IF(F79=$B$145,L79*$C$145/$C$144,IF(F79=$B$143,L79/$C$144))))</f>
        <v>125009.26452059194</v>
      </c>
      <c r="N79" s="230" t="s">
        <v>85</v>
      </c>
      <c r="O79" s="91"/>
      <c r="P79" s="35"/>
    </row>
    <row r="80" spans="1:16" s="92" customFormat="1" ht="148.5" customHeight="1" outlineLevel="1" x14ac:dyDescent="0.25">
      <c r="A80" s="63">
        <v>47</v>
      </c>
      <c r="B80" s="56" t="s">
        <v>177</v>
      </c>
      <c r="C80" s="64" t="s">
        <v>143</v>
      </c>
      <c r="D80" s="87" t="s">
        <v>110</v>
      </c>
      <c r="E80" s="87" t="s">
        <v>326</v>
      </c>
      <c r="F80" s="64" t="s">
        <v>3</v>
      </c>
      <c r="G80" s="89">
        <v>1100000000</v>
      </c>
      <c r="H80" s="65">
        <v>1100000000</v>
      </c>
      <c r="I80" s="56" t="s">
        <v>178</v>
      </c>
      <c r="J80" s="65"/>
      <c r="K80" s="65"/>
      <c r="L80" s="89">
        <f t="shared" si="3"/>
        <v>1100000000</v>
      </c>
      <c r="M80" s="60">
        <f>IF(F80=$B$144,L80,IF(F80=$B$146,L80*$C$146/$C$144,IF(F80=$B$145,L80*$C$145/$C$144,IF(F80=$B$143,L80/$C$144))))</f>
        <v>2717592.7069693902</v>
      </c>
      <c r="N80" s="240" t="s">
        <v>280</v>
      </c>
      <c r="O80" s="91"/>
      <c r="P80" s="35"/>
    </row>
    <row r="81" spans="1:16" s="92" customFormat="1" ht="148.5" customHeight="1" outlineLevel="1" x14ac:dyDescent="0.25">
      <c r="A81" s="63">
        <v>48</v>
      </c>
      <c r="B81" s="56" t="s">
        <v>177</v>
      </c>
      <c r="C81" s="64" t="s">
        <v>143</v>
      </c>
      <c r="D81" s="87" t="s">
        <v>110</v>
      </c>
      <c r="E81" s="87" t="s">
        <v>327</v>
      </c>
      <c r="F81" s="64" t="s">
        <v>3</v>
      </c>
      <c r="G81" s="89">
        <v>792386600</v>
      </c>
      <c r="H81" s="65">
        <v>791031693</v>
      </c>
      <c r="I81" s="56" t="s">
        <v>178</v>
      </c>
      <c r="J81" s="65"/>
      <c r="K81" s="65"/>
      <c r="L81" s="89">
        <f t="shared" si="3"/>
        <v>791031693</v>
      </c>
      <c r="M81" s="60">
        <f>IF(F81=$B$144,L81,IF(F81=$B$146,L81*$C$146/$C$144,IF(F81=$B$145,L81*$C$145/$C$144,IF(F81=$B$143,L81/$C$144))))</f>
        <v>1954274.5089804088</v>
      </c>
      <c r="N81" s="241"/>
      <c r="O81" s="91"/>
      <c r="P81" s="35"/>
    </row>
    <row r="82" spans="1:16" s="92" customFormat="1" ht="148.5" customHeight="1" outlineLevel="1" x14ac:dyDescent="0.25">
      <c r="A82" s="63">
        <v>49</v>
      </c>
      <c r="B82" s="56" t="s">
        <v>177</v>
      </c>
      <c r="C82" s="64" t="s">
        <v>143</v>
      </c>
      <c r="D82" s="87" t="s">
        <v>110</v>
      </c>
      <c r="E82" s="87" t="s">
        <v>328</v>
      </c>
      <c r="F82" s="64" t="s">
        <v>3</v>
      </c>
      <c r="G82" s="89">
        <v>254672300</v>
      </c>
      <c r="H82" s="65">
        <f>168444408+75498000+5196300+5196300</f>
        <v>254335008</v>
      </c>
      <c r="I82" s="56" t="s">
        <v>178</v>
      </c>
      <c r="J82" s="65"/>
      <c r="K82" s="65"/>
      <c r="L82" s="89">
        <f>H82-J82</f>
        <v>254335008</v>
      </c>
      <c r="M82" s="60">
        <f>IF(F82=$B$144,L82,IF(F82=$B$146,L82*$C$146/$C$144,IF(F82=$B$145,L82*$C$145/$C$144,IF(F82=$B$143,L82/$C$144))))</f>
        <v>628344.51169800141</v>
      </c>
      <c r="N82" s="242"/>
      <c r="O82" s="91"/>
      <c r="P82" s="35"/>
    </row>
    <row r="83" spans="1:16" s="92" customFormat="1" ht="60.75" customHeight="1" outlineLevel="1" x14ac:dyDescent="0.25">
      <c r="A83" s="63">
        <v>50</v>
      </c>
      <c r="B83" s="56" t="s">
        <v>179</v>
      </c>
      <c r="C83" s="64" t="s">
        <v>143</v>
      </c>
      <c r="D83" s="87" t="s">
        <v>123</v>
      </c>
      <c r="E83" s="87" t="s">
        <v>180</v>
      </c>
      <c r="F83" s="64" t="s">
        <v>3</v>
      </c>
      <c r="G83" s="89">
        <v>88731015</v>
      </c>
      <c r="H83" s="65">
        <v>88731000</v>
      </c>
      <c r="I83" s="90">
        <v>8.5000000000000006E-2</v>
      </c>
      <c r="J83" s="65"/>
      <c r="K83" s="65">
        <v>1591081</v>
      </c>
      <c r="L83" s="89">
        <f t="shared" ref="L83:L95" si="4">H83-J83</f>
        <v>88731000</v>
      </c>
      <c r="M83" s="60">
        <f>IF(F83=$B$144,L83,IF(F83=$B$146,L83*$C$146/$C$144,IF(F83=$B$145,L83*$C$145/$C$144,IF(F83=$B$143,L83/$C$144))))</f>
        <v>219213.3804382736</v>
      </c>
      <c r="N83" s="238" t="s">
        <v>181</v>
      </c>
      <c r="O83" s="91"/>
      <c r="P83" s="35"/>
    </row>
    <row r="84" spans="1:16" s="92" customFormat="1" ht="77.25" customHeight="1" outlineLevel="1" x14ac:dyDescent="0.25">
      <c r="A84" s="63">
        <v>51</v>
      </c>
      <c r="B84" s="56" t="s">
        <v>182</v>
      </c>
      <c r="C84" s="64" t="s">
        <v>183</v>
      </c>
      <c r="D84" s="87" t="s">
        <v>123</v>
      </c>
      <c r="E84" s="87" t="s">
        <v>184</v>
      </c>
      <c r="F84" s="64" t="s">
        <v>3</v>
      </c>
      <c r="G84" s="89">
        <v>3840000000</v>
      </c>
      <c r="H84" s="65">
        <v>3840000000</v>
      </c>
      <c r="I84" s="209">
        <v>1.0000000000000001E-5</v>
      </c>
      <c r="J84" s="210">
        <v>3484641868</v>
      </c>
      <c r="K84" s="65">
        <v>37169</v>
      </c>
      <c r="L84" s="89">
        <f t="shared" si="4"/>
        <v>355358132</v>
      </c>
      <c r="M84" s="60">
        <f>IF(F84=$B$144,L84,IF(F84=$B$146,L84*$C$146/$C$144,IF(F84=$B$145,L84*$C$145/$C$144,IF(F84=$B$143,L84/$C$144))))</f>
        <v>877926.06171405991</v>
      </c>
      <c r="N84" s="238" t="s">
        <v>85</v>
      </c>
      <c r="O84" s="91"/>
      <c r="P84" s="35"/>
    </row>
    <row r="85" spans="1:16" ht="67.5" outlineLevel="1" x14ac:dyDescent="0.25">
      <c r="A85" s="63">
        <v>52</v>
      </c>
      <c r="B85" s="107" t="s">
        <v>185</v>
      </c>
      <c r="C85" s="108" t="s">
        <v>183</v>
      </c>
      <c r="D85" s="108" t="s">
        <v>153</v>
      </c>
      <c r="E85" s="64" t="s">
        <v>186</v>
      </c>
      <c r="F85" s="64" t="s">
        <v>59</v>
      </c>
      <c r="G85" s="211">
        <v>8944984.0899999999</v>
      </c>
      <c r="H85" s="65">
        <v>8944984.0899999999</v>
      </c>
      <c r="I85" s="212">
        <v>7.4999999999999997E-3</v>
      </c>
      <c r="J85" s="210">
        <v>2274148.4999999995</v>
      </c>
      <c r="K85" s="65">
        <v>881276.03</v>
      </c>
      <c r="L85" s="67">
        <f t="shared" si="4"/>
        <v>6670835.5899999999</v>
      </c>
      <c r="M85" s="60">
        <f>IF(F85=$B$144,L85,IF(F85=$B$146,L85*$C$146/$C$144,IF(F85=$B$145,L85*$C$145/$C$144,IF(F85=$B$143,L85/$C$144))))</f>
        <v>6670835.5899999999</v>
      </c>
      <c r="N85" s="233" t="s">
        <v>85</v>
      </c>
      <c r="P85" s="35"/>
    </row>
    <row r="86" spans="1:16" ht="63" customHeight="1" outlineLevel="1" x14ac:dyDescent="0.25">
      <c r="A86" s="78">
        <v>53</v>
      </c>
      <c r="B86" s="179" t="s">
        <v>187</v>
      </c>
      <c r="C86" s="81" t="s">
        <v>183</v>
      </c>
      <c r="D86" s="81" t="s">
        <v>153</v>
      </c>
      <c r="E86" s="64" t="s">
        <v>188</v>
      </c>
      <c r="F86" s="64" t="s">
        <v>3</v>
      </c>
      <c r="G86" s="211">
        <v>93025000</v>
      </c>
      <c r="H86" s="65">
        <v>93025000</v>
      </c>
      <c r="I86" s="212">
        <v>7.4999999999999997E-3</v>
      </c>
      <c r="J86" s="65">
        <v>13023500</v>
      </c>
      <c r="K86" s="65">
        <v>8639616.2799999993</v>
      </c>
      <c r="L86" s="67">
        <f t="shared" si="4"/>
        <v>80001500</v>
      </c>
      <c r="M86" s="60">
        <f>IF(F86=$B$144,L86,IF(F86=$B$146,L86*$C$146/$C$144,IF(F86=$B$145,L86*$C$145/$C$144,IF(F86=$B$143,L86/$C$144))))</f>
        <v>197646.81176964697</v>
      </c>
      <c r="N86" s="231" t="s">
        <v>85</v>
      </c>
      <c r="P86" s="35"/>
    </row>
    <row r="87" spans="1:16" ht="63" customHeight="1" outlineLevel="1" x14ac:dyDescent="0.25">
      <c r="A87" s="83"/>
      <c r="B87" s="100"/>
      <c r="C87" s="86"/>
      <c r="D87" s="86"/>
      <c r="E87" s="64" t="s">
        <v>188</v>
      </c>
      <c r="F87" s="64" t="s">
        <v>59</v>
      </c>
      <c r="G87" s="211">
        <v>5217725</v>
      </c>
      <c r="H87" s="65">
        <v>5217725</v>
      </c>
      <c r="I87" s="212">
        <v>7.4999999999999997E-3</v>
      </c>
      <c r="J87" s="65">
        <v>730481.25</v>
      </c>
      <c r="K87" s="65">
        <v>505356.93000000011</v>
      </c>
      <c r="L87" s="67">
        <f t="shared" si="4"/>
        <v>4487243.75</v>
      </c>
      <c r="M87" s="60">
        <f>IF(F87=$B$144,L87,IF(F87=$B$146,L87*$C$146/$C$144,IF(F87=$B$145,L87*$C$145/$C$144,IF(F87=$B$143,L87/$C$144))))</f>
        <v>4487243.75</v>
      </c>
      <c r="N87" s="232"/>
      <c r="P87" s="35"/>
    </row>
    <row r="88" spans="1:16" ht="54" outlineLevel="1" x14ac:dyDescent="0.25">
      <c r="A88" s="63">
        <v>54</v>
      </c>
      <c r="B88" s="107" t="s">
        <v>189</v>
      </c>
      <c r="C88" s="108" t="s">
        <v>183</v>
      </c>
      <c r="D88" s="108" t="s">
        <v>153</v>
      </c>
      <c r="E88" s="64" t="s">
        <v>190</v>
      </c>
      <c r="F88" s="64" t="s">
        <v>59</v>
      </c>
      <c r="G88" s="211">
        <v>1989000</v>
      </c>
      <c r="H88" s="65">
        <v>1989000</v>
      </c>
      <c r="I88" s="212">
        <v>7.4999999999999997E-3</v>
      </c>
      <c r="J88" s="65">
        <v>303406.87999999995</v>
      </c>
      <c r="K88" s="65">
        <v>164634.31</v>
      </c>
      <c r="L88" s="67">
        <f t="shared" si="4"/>
        <v>1685593.12</v>
      </c>
      <c r="M88" s="60">
        <f>IF(F88=$B$144,L88,IF(F88=$B$146,L88*$C$146/$C$144,IF(F88=$B$145,L88*$C$145/$C$144,IF(F88=$B$143,L88/$C$144))))</f>
        <v>1685593.12</v>
      </c>
      <c r="N88" s="233" t="s">
        <v>85</v>
      </c>
      <c r="P88" s="35"/>
    </row>
    <row r="89" spans="1:16" ht="108" customHeight="1" outlineLevel="1" x14ac:dyDescent="0.25">
      <c r="A89" s="63">
        <v>55</v>
      </c>
      <c r="B89" s="107" t="s">
        <v>329</v>
      </c>
      <c r="C89" s="108" t="s">
        <v>330</v>
      </c>
      <c r="D89" s="108" t="s">
        <v>153</v>
      </c>
      <c r="E89" s="108" t="s">
        <v>331</v>
      </c>
      <c r="F89" s="64" t="s">
        <v>3</v>
      </c>
      <c r="G89" s="211">
        <v>2047212646</v>
      </c>
      <c r="H89" s="109">
        <v>2047212646</v>
      </c>
      <c r="I89" s="212">
        <v>0.02</v>
      </c>
      <c r="J89" s="65">
        <v>0</v>
      </c>
      <c r="K89" s="65">
        <v>88017538.400000006</v>
      </c>
      <c r="L89" s="67">
        <v>2047212646</v>
      </c>
      <c r="M89" s="60">
        <f>IF(F89=$B$144,L89,IF(F89=$B$146,L89*$C$146/$C$144,IF(F89=$B$145,L89*$C$145/$C$144,IF(F89=$B$143,L89/$C$144))))</f>
        <v>5057718.3239864614</v>
      </c>
      <c r="N89" s="233" t="s">
        <v>85</v>
      </c>
      <c r="P89" s="35"/>
    </row>
    <row r="90" spans="1:16" ht="153.75" customHeight="1" outlineLevel="1" x14ac:dyDescent="0.25">
      <c r="A90" s="106">
        <v>56</v>
      </c>
      <c r="B90" s="107" t="s">
        <v>191</v>
      </c>
      <c r="C90" s="108" t="s">
        <v>192</v>
      </c>
      <c r="D90" s="108" t="s">
        <v>102</v>
      </c>
      <c r="E90" s="108" t="s">
        <v>193</v>
      </c>
      <c r="F90" s="64" t="s">
        <v>59</v>
      </c>
      <c r="G90" s="211">
        <v>2217000</v>
      </c>
      <c r="H90" s="211">
        <v>2217000</v>
      </c>
      <c r="I90" s="213">
        <v>0.02</v>
      </c>
      <c r="J90" s="65">
        <v>1656550.78</v>
      </c>
      <c r="K90" s="65">
        <v>108750.1203452351</v>
      </c>
      <c r="L90" s="67">
        <v>1010837.1</v>
      </c>
      <c r="M90" s="60">
        <f>IF(F90=$B$144,L90,IF(F90=$B$146,L90*$C$146/$C$144,IF(F90=$B$145,L90*$C$145/$C$144,IF(F90=$B$143,L90/$C$144))))</f>
        <v>1010837.1</v>
      </c>
      <c r="N90" s="233" t="s">
        <v>194</v>
      </c>
      <c r="P90" s="35"/>
    </row>
    <row r="91" spans="1:16" ht="123" customHeight="1" outlineLevel="1" x14ac:dyDescent="0.25">
      <c r="A91" s="63">
        <v>57</v>
      </c>
      <c r="B91" s="56" t="s">
        <v>316</v>
      </c>
      <c r="C91" s="64" t="s">
        <v>317</v>
      </c>
      <c r="D91" s="64" t="s">
        <v>318</v>
      </c>
      <c r="E91" s="108" t="s">
        <v>319</v>
      </c>
      <c r="F91" s="64" t="s">
        <v>37</v>
      </c>
      <c r="G91" s="211">
        <v>4199559.68</v>
      </c>
      <c r="H91" s="211">
        <v>4199559.68</v>
      </c>
      <c r="I91" s="213" t="s">
        <v>320</v>
      </c>
      <c r="J91" s="65"/>
      <c r="K91" s="65"/>
      <c r="L91" s="67">
        <v>4199559.68</v>
      </c>
      <c r="M91" s="60">
        <f>IF(F91=$B$144,L91,IF(F91=$B$146,L91*$C$146/$C$144,IF(F91=$B$145,L91*$C$145/$C$144,IF(F91=$B$143,L91/$C$144))))</f>
        <v>4213462.4148153272</v>
      </c>
      <c r="N91" s="233" t="s">
        <v>321</v>
      </c>
      <c r="P91" s="35"/>
    </row>
    <row r="92" spans="1:16" s="92" customFormat="1" ht="52.5" customHeight="1" outlineLevel="1" x14ac:dyDescent="0.25">
      <c r="A92" s="93">
        <v>57</v>
      </c>
      <c r="B92" s="94" t="s">
        <v>195</v>
      </c>
      <c r="C92" s="95" t="s">
        <v>196</v>
      </c>
      <c r="D92" s="95"/>
      <c r="E92" s="97" t="s">
        <v>197</v>
      </c>
      <c r="F92" s="68" t="s">
        <v>59</v>
      </c>
      <c r="G92" s="89">
        <v>237758.39</v>
      </c>
      <c r="H92" s="65">
        <v>237758.39</v>
      </c>
      <c r="I92" s="99"/>
      <c r="J92" s="65"/>
      <c r="K92" s="65"/>
      <c r="L92" s="89">
        <f>H92-J92</f>
        <v>237758.39</v>
      </c>
      <c r="M92" s="60">
        <f>IF(F92=$B$144,L92,IF(F92=$B$146,L92*$C$146/$C$144,IF(F92=$B$145,L92*$C$145/$C$144,IF(F92=$B$143,L92/$C$144))))</f>
        <v>237758.39</v>
      </c>
      <c r="N92" s="231" t="s">
        <v>85</v>
      </c>
      <c r="O92" s="91"/>
      <c r="P92" s="35"/>
    </row>
    <row r="93" spans="1:16" s="92" customFormat="1" ht="52.5" customHeight="1" outlineLevel="1" x14ac:dyDescent="0.25">
      <c r="A93" s="93"/>
      <c r="B93" s="100"/>
      <c r="C93" s="86"/>
      <c r="D93" s="86"/>
      <c r="E93" s="102"/>
      <c r="F93" s="103" t="s">
        <v>3</v>
      </c>
      <c r="G93" s="104">
        <v>28883700</v>
      </c>
      <c r="H93" s="65">
        <v>28883700</v>
      </c>
      <c r="I93" s="105"/>
      <c r="J93" s="65"/>
      <c r="K93" s="65"/>
      <c r="L93" s="89">
        <f>H93-J93</f>
        <v>28883700</v>
      </c>
      <c r="M93" s="60">
        <f>IF(F93=$B$144,L93,IF(F93=$B$146,L93*$C$146/$C$144,IF(F93=$B$145,L93*$C$145/$C$144,IF(F93=$B$143,L93/$C$144))))</f>
        <v>71358.302245719795</v>
      </c>
      <c r="N93" s="232"/>
      <c r="O93" s="91"/>
      <c r="P93" s="35"/>
    </row>
    <row r="94" spans="1:16" s="36" customFormat="1" ht="83.25" customHeight="1" outlineLevel="1" x14ac:dyDescent="0.25">
      <c r="A94" s="106" t="s">
        <v>322</v>
      </c>
      <c r="B94" s="107" t="s">
        <v>121</v>
      </c>
      <c r="C94" s="108" t="s">
        <v>122</v>
      </c>
      <c r="D94" s="108" t="s">
        <v>123</v>
      </c>
      <c r="E94" s="108" t="s">
        <v>124</v>
      </c>
      <c r="F94" s="108" t="s">
        <v>3</v>
      </c>
      <c r="G94" s="109">
        <v>303444194</v>
      </c>
      <c r="H94" s="65">
        <v>303444194</v>
      </c>
      <c r="I94" s="105">
        <v>0</v>
      </c>
      <c r="J94" s="65"/>
      <c r="K94" s="65"/>
      <c r="L94" s="110">
        <f>H94-J94</f>
        <v>303444194</v>
      </c>
      <c r="M94" s="65">
        <f>IF(F94=$B$144,L94,IF(F94=$B$146,L94*$C$146/$C$144,IF(F94=$B$145,L94*$C$145/$C$144,IF(F94=$B$147,L94*$C$147/$C$144,IF(F94=$B$143,L94/$C$144)))))</f>
        <v>749670.66235145892</v>
      </c>
      <c r="N94" s="233" t="s">
        <v>85</v>
      </c>
      <c r="O94" s="35"/>
      <c r="P94" s="35"/>
    </row>
    <row r="95" spans="1:16" ht="95.25" customHeight="1" outlineLevel="1" x14ac:dyDescent="0.25">
      <c r="A95" s="63">
        <v>59</v>
      </c>
      <c r="B95" s="56" t="s">
        <v>198</v>
      </c>
      <c r="C95" s="64" t="s">
        <v>199</v>
      </c>
      <c r="D95" s="64" t="s">
        <v>200</v>
      </c>
      <c r="E95" s="64" t="s">
        <v>201</v>
      </c>
      <c r="F95" s="64" t="s">
        <v>59</v>
      </c>
      <c r="G95" s="98">
        <v>10000000</v>
      </c>
      <c r="H95" s="65">
        <v>10000000</v>
      </c>
      <c r="I95" s="90" t="s">
        <v>202</v>
      </c>
      <c r="J95" s="65">
        <v>2553676.86</v>
      </c>
      <c r="K95" s="65">
        <f>3533579.15874841+18816925/512.41+16022937.4/426.85</f>
        <v>3607839.1888604597</v>
      </c>
      <c r="L95" s="67">
        <f t="shared" si="4"/>
        <v>7446323.1400000006</v>
      </c>
      <c r="M95" s="60">
        <f>IF(F95=$B$144,L95,IF(F95=$B$146,L95*$C$146/$C$144,IF(F95=$B$145,L95*$C$145/$C$144,IF(F95=$B$143,L95/$C$144))))</f>
        <v>7446323.1400000006</v>
      </c>
      <c r="N95" s="230" t="s">
        <v>203</v>
      </c>
      <c r="P95" s="35"/>
    </row>
    <row r="96" spans="1:16" s="36" customFormat="1" ht="109.5" customHeight="1" outlineLevel="1" thickBot="1" x14ac:dyDescent="0.3">
      <c r="A96" s="63">
        <v>60</v>
      </c>
      <c r="B96" s="56" t="s">
        <v>198</v>
      </c>
      <c r="C96" s="64" t="s">
        <v>143</v>
      </c>
      <c r="D96" s="64" t="s">
        <v>200</v>
      </c>
      <c r="E96" s="64" t="s">
        <v>204</v>
      </c>
      <c r="F96" s="64" t="s">
        <v>3</v>
      </c>
      <c r="G96" s="65">
        <v>8000000000</v>
      </c>
      <c r="H96" s="65">
        <v>8000000000</v>
      </c>
      <c r="I96" s="66" t="s">
        <v>205</v>
      </c>
      <c r="J96" s="65"/>
      <c r="K96" s="65">
        <f>3496438357+79342466</f>
        <v>3575780823</v>
      </c>
      <c r="L96" s="67">
        <f>H96-J96</f>
        <v>8000000000</v>
      </c>
      <c r="M96" s="65">
        <f>IF(F96=$B$144,L96,IF(F96=$B$146,L96*$C$146/$C$144,IF(F96=$B$145,L96*$C$145/$C$144,IF(F96=$B$143,L96/$C$144))))</f>
        <v>19764310.596141018</v>
      </c>
      <c r="N96" s="230" t="s">
        <v>206</v>
      </c>
      <c r="O96" s="35"/>
      <c r="P96" s="35"/>
    </row>
    <row r="97" spans="1:17" s="44" customFormat="1" ht="24.75" customHeight="1" x14ac:dyDescent="0.25">
      <c r="A97" s="37" t="s">
        <v>207</v>
      </c>
      <c r="B97" s="38"/>
      <c r="C97" s="38"/>
      <c r="D97" s="39" t="s">
        <v>37</v>
      </c>
      <c r="E97" s="39"/>
      <c r="F97" s="111"/>
      <c r="G97" s="42">
        <f>SUMIF($F$72:$F$96,D97,$G$72:$G$96)</f>
        <v>25699559.68</v>
      </c>
      <c r="H97" s="42">
        <f>SUMIF($F$72:$F$96,D97,$H$72:$H$96)</f>
        <v>5092393.3899999997</v>
      </c>
      <c r="I97" s="42"/>
      <c r="J97" s="42">
        <f>SUMIF($F$72:$F$96,D97,$J$72:$J$96)</f>
        <v>18181.810000000001</v>
      </c>
      <c r="K97" s="42">
        <f>SUMIF($F$72:$F$96,D97,$K$72:$K$96)</f>
        <v>148108.69</v>
      </c>
      <c r="L97" s="42">
        <f>SUMIF($F$72:$F$96,D97,$L$72:$L$96)</f>
        <v>5074211.58</v>
      </c>
      <c r="M97" s="42"/>
      <c r="N97" s="234"/>
      <c r="O97" s="43"/>
      <c r="P97" s="35"/>
    </row>
    <row r="98" spans="1:17" s="44" customFormat="1" ht="39" customHeight="1" x14ac:dyDescent="0.25">
      <c r="A98" s="45"/>
      <c r="B98" s="46"/>
      <c r="C98" s="46"/>
      <c r="D98" s="47" t="s">
        <v>3</v>
      </c>
      <c r="E98" s="47"/>
      <c r="F98" s="48"/>
      <c r="G98" s="49">
        <f>SUMIF($F$72:$F$96,D98,$G$72:$G$96)</f>
        <v>16940988508.200001</v>
      </c>
      <c r="H98" s="49">
        <f>SUMIF($F$72:$F$96,D98,$H$72:$H$96)</f>
        <v>16977744487.1</v>
      </c>
      <c r="I98" s="49"/>
      <c r="J98" s="49">
        <f>SUMIF($F$72:$F$96,D98,$J$72:$J$96)</f>
        <v>3540547260.9000001</v>
      </c>
      <c r="K98" s="49">
        <f>SUMIF($F$72:$F$96,D98,$K$72:$K$96)</f>
        <v>3674594381.1799998</v>
      </c>
      <c r="L98" s="49">
        <f>SUMIF($F$72:$F$96,D98,$L$72:$L$96)</f>
        <v>13437197226.200001</v>
      </c>
      <c r="M98" s="49"/>
      <c r="N98" s="235"/>
      <c r="O98" s="43"/>
      <c r="P98" s="43"/>
    </row>
    <row r="99" spans="1:17" s="44" customFormat="1" ht="39" customHeight="1" x14ac:dyDescent="0.25">
      <c r="A99" s="45"/>
      <c r="B99" s="46"/>
      <c r="C99" s="46"/>
      <c r="D99" s="47" t="s">
        <v>59</v>
      </c>
      <c r="E99" s="47"/>
      <c r="F99" s="48"/>
      <c r="G99" s="49">
        <f>SUMIF($F$72:$F$96,D99,$G$72:$G$96)</f>
        <v>32967799.48</v>
      </c>
      <c r="H99" s="49">
        <f>SUMIF($F$72:$F$96,D99,$H$72:$H$96)</f>
        <v>29632383.649999999</v>
      </c>
      <c r="I99" s="49"/>
      <c r="J99" s="49">
        <f>SUMIF($F$72:$F$96,D99,$J$72:$J$96)</f>
        <v>8030155.5681014601</v>
      </c>
      <c r="K99" s="49">
        <f>SUMIF($F$72:$F$96,D99,$K$72:$K$96)</f>
        <v>5612038.7592056952</v>
      </c>
      <c r="L99" s="49">
        <f>SUMIF($F$72:$F$96,D99,$L$72:$L$96)</f>
        <v>22052615.961898543</v>
      </c>
      <c r="M99" s="49">
        <f>SUM(M72:M96)</f>
        <v>60340743.271120571</v>
      </c>
      <c r="N99" s="235"/>
      <c r="O99" s="43"/>
      <c r="P99" s="43"/>
    </row>
    <row r="100" spans="1:17" s="44" customFormat="1" ht="39" customHeight="1" thickBot="1" x14ac:dyDescent="0.3">
      <c r="A100" s="50"/>
      <c r="B100" s="51"/>
      <c r="C100" s="51"/>
      <c r="D100" s="52" t="s">
        <v>80</v>
      </c>
      <c r="E100" s="52"/>
      <c r="F100" s="53"/>
      <c r="G100" s="54">
        <f>SUMIF($F$72:$F$96,D100,$G$72:$G$96)</f>
        <v>0</v>
      </c>
      <c r="H100" s="54">
        <f>SUMIF($F$72:$F$96,D100,$H$72:$H$96)</f>
        <v>0</v>
      </c>
      <c r="I100" s="54"/>
      <c r="J100" s="54">
        <f>SUMIF($F$72:$F$96,D100,$J$72:$J$96)</f>
        <v>0</v>
      </c>
      <c r="K100" s="54">
        <f>SUMIF($F$72:$F$96,D100,$K$72:$K$96)</f>
        <v>0</v>
      </c>
      <c r="L100" s="54">
        <f>SUMIF($F$72:$F$96,D100,$L$72:$L$96)</f>
        <v>0</v>
      </c>
      <c r="M100" s="54"/>
      <c r="N100" s="236"/>
      <c r="O100" s="43"/>
      <c r="P100" s="43"/>
    </row>
    <row r="101" spans="1:17" s="92" customFormat="1" ht="156.75" customHeight="1" outlineLevel="1" x14ac:dyDescent="0.2">
      <c r="A101" s="63">
        <v>61</v>
      </c>
      <c r="B101" s="108" t="s">
        <v>0</v>
      </c>
      <c r="C101" s="108" t="s">
        <v>1</v>
      </c>
      <c r="D101" s="108"/>
      <c r="E101" s="163" t="s">
        <v>208</v>
      </c>
      <c r="F101" s="64" t="s">
        <v>3</v>
      </c>
      <c r="G101" s="104">
        <f>3047000000+3000000000</f>
        <v>6047000000</v>
      </c>
      <c r="H101" s="109">
        <v>6000000000</v>
      </c>
      <c r="I101" s="105"/>
      <c r="J101" s="65">
        <f>4439902959+260956717.5+995441267.7+73262192.2+103703140</f>
        <v>5873266276.3999996</v>
      </c>
      <c r="K101" s="65"/>
      <c r="L101" s="109">
        <f>H101-J101</f>
        <v>126733723.60000038</v>
      </c>
      <c r="M101" s="60">
        <f>IF(F101=$B$144,L101,IF(F101=$B$146,L101*$C$146/$C$144,IF(F101=$B$145,L101*$C$145/$C$144,IF(F101=$B$143,L101/$C$144))))</f>
        <v>313100.58452948683</v>
      </c>
      <c r="N101" s="243" t="s">
        <v>85</v>
      </c>
      <c r="O101" s="91"/>
      <c r="P101" s="91"/>
    </row>
    <row r="102" spans="1:17" s="92" customFormat="1" ht="135" outlineLevel="1" x14ac:dyDescent="0.2">
      <c r="A102" s="63">
        <v>62</v>
      </c>
      <c r="B102" s="108" t="s">
        <v>4</v>
      </c>
      <c r="C102" s="108" t="s">
        <v>5</v>
      </c>
      <c r="D102" s="108"/>
      <c r="E102" s="163" t="s">
        <v>18</v>
      </c>
      <c r="F102" s="64" t="s">
        <v>3</v>
      </c>
      <c r="G102" s="65">
        <f>2000000000+7300000000</f>
        <v>9300000000</v>
      </c>
      <c r="H102" s="98">
        <f>9024295000</f>
        <v>9024295000</v>
      </c>
      <c r="I102" s="105" t="s">
        <v>209</v>
      </c>
      <c r="J102" s="65">
        <f>4849511288.30001+293553946.6+277518975.4+298090130.9+261563425.9+273040297.9</f>
        <v>6253278065.0000086</v>
      </c>
      <c r="K102" s="244"/>
      <c r="L102" s="109">
        <f>H102-J102</f>
        <v>2771016934.9999914</v>
      </c>
      <c r="M102" s="60">
        <f>IF(F102=$B$144,L102,IF(F102=$B$146,L102*$C$146/$C$144,IF(F102=$B$145,L102*$C$145/$C$144,IF(F102=$B$143,L102/$C$144))))</f>
        <v>6845904.9213133175</v>
      </c>
      <c r="N102" s="243" t="s">
        <v>85</v>
      </c>
      <c r="O102" s="91"/>
      <c r="P102" s="91"/>
    </row>
    <row r="103" spans="1:17" s="92" customFormat="1" ht="121.5" outlineLevel="1" x14ac:dyDescent="0.2">
      <c r="A103" s="63">
        <v>63</v>
      </c>
      <c r="B103" s="108" t="s">
        <v>4</v>
      </c>
      <c r="C103" s="108" t="s">
        <v>7</v>
      </c>
      <c r="D103" s="108"/>
      <c r="E103" s="163" t="s">
        <v>8</v>
      </c>
      <c r="F103" s="64" t="s">
        <v>3</v>
      </c>
      <c r="G103" s="65">
        <v>562500000</v>
      </c>
      <c r="H103" s="65">
        <v>562500000</v>
      </c>
      <c r="I103" s="105"/>
      <c r="J103" s="65"/>
      <c r="K103" s="65"/>
      <c r="L103" s="110">
        <f t="shared" ref="L103:L123" si="5">H103-J103</f>
        <v>562500000</v>
      </c>
      <c r="M103" s="60">
        <f>IF(F103=$B$144,L103,IF(F103=$B$146,L103*$C$146/$C$144,IF(F103=$B$145,L103*$C$145/$C$144,IF(F103=$B$143,L103/$C$144))))</f>
        <v>1389678.0887911655</v>
      </c>
      <c r="N103" s="243" t="s">
        <v>85</v>
      </c>
      <c r="O103" s="91"/>
      <c r="P103" s="91"/>
    </row>
    <row r="104" spans="1:17" s="92" customFormat="1" ht="147" customHeight="1" outlineLevel="1" x14ac:dyDescent="0.2">
      <c r="A104" s="63">
        <v>64</v>
      </c>
      <c r="B104" s="81" t="s">
        <v>0</v>
      </c>
      <c r="C104" s="81" t="s">
        <v>9</v>
      </c>
      <c r="D104" s="108"/>
      <c r="E104" s="163" t="s">
        <v>11</v>
      </c>
      <c r="F104" s="64" t="s">
        <v>3</v>
      </c>
      <c r="G104" s="65">
        <v>2000000000</v>
      </c>
      <c r="H104" s="65">
        <v>2000000000</v>
      </c>
      <c r="I104" s="99">
        <v>2.7E-2</v>
      </c>
      <c r="J104" s="65"/>
      <c r="K104" s="67">
        <f>68417269.8+13462993.2+49643.9+1421840.5</f>
        <v>83351747.400000006</v>
      </c>
      <c r="L104" s="67">
        <f t="shared" si="5"/>
        <v>2000000000</v>
      </c>
      <c r="M104" s="65">
        <f>IF(F104=$B$144,L104,IF(F104=$B$146,L104*$C$146/$C$144,IF(F104=$B$145,L104*$C$145/$C$144,IF(F104=$B$143,L104/$C$144))))</f>
        <v>4941077.6490352545</v>
      </c>
      <c r="N104" s="243" t="s">
        <v>85</v>
      </c>
      <c r="O104" s="91"/>
      <c r="P104" s="91"/>
    </row>
    <row r="105" spans="1:17" s="92" customFormat="1" ht="144.75" customHeight="1" outlineLevel="1" x14ac:dyDescent="0.2">
      <c r="A105" s="63">
        <v>65</v>
      </c>
      <c r="B105" s="95"/>
      <c r="C105" s="95"/>
      <c r="D105" s="101"/>
      <c r="E105" s="163" t="s">
        <v>13</v>
      </c>
      <c r="F105" s="57" t="s">
        <v>3</v>
      </c>
      <c r="G105" s="65">
        <v>2000000000</v>
      </c>
      <c r="H105" s="65">
        <v>2000000000</v>
      </c>
      <c r="I105" s="214">
        <v>5.7000000000000002E-2</v>
      </c>
      <c r="J105" s="60"/>
      <c r="K105" s="65">
        <f>153819379.6+28421448.8+780809.1</f>
        <v>183021637.5</v>
      </c>
      <c r="L105" s="67">
        <f t="shared" si="5"/>
        <v>2000000000</v>
      </c>
      <c r="M105" s="60">
        <f>IF(F105=$B$144,L105,IF(F105=$B$146,L105*$C$146/$C$144,IF(F105=$B$145,L105*$C$145/$C$144,IF(F105=$B$143,L105/$C$144))))</f>
        <v>4941077.6490352545</v>
      </c>
      <c r="N105" s="243" t="s">
        <v>85</v>
      </c>
      <c r="O105" s="91"/>
      <c r="P105" s="91"/>
    </row>
    <row r="106" spans="1:17" s="92" customFormat="1" ht="90.75" customHeight="1" outlineLevel="1" thickBot="1" x14ac:dyDescent="0.25">
      <c r="A106" s="63">
        <v>66</v>
      </c>
      <c r="B106" s="215"/>
      <c r="C106" s="215"/>
      <c r="D106" s="164"/>
      <c r="E106" s="163" t="s">
        <v>210</v>
      </c>
      <c r="F106" s="57" t="s">
        <v>3</v>
      </c>
      <c r="G106" s="216">
        <v>5000000000</v>
      </c>
      <c r="H106" s="216">
        <v>5000000000</v>
      </c>
      <c r="I106" s="99">
        <v>2.7E-2</v>
      </c>
      <c r="J106" s="60"/>
      <c r="K106" s="65">
        <f>34209157.5+76580313.4</f>
        <v>110789470.90000001</v>
      </c>
      <c r="L106" s="67">
        <f t="shared" si="5"/>
        <v>5000000000</v>
      </c>
      <c r="M106" s="60">
        <f>IF(F106=$B$144,L106,IF(F106=$B$146,L106*$C$146/$C$144,IF(F106=$B$145,L106*$C$145/$C$144,IF(F106=$B$143,L106/$C$144))))</f>
        <v>12352694.122588137</v>
      </c>
      <c r="N106" s="243" t="s">
        <v>85</v>
      </c>
      <c r="O106" s="91"/>
      <c r="P106" s="91"/>
    </row>
    <row r="107" spans="1:17" s="44" customFormat="1" ht="30" customHeight="1" x14ac:dyDescent="0.25">
      <c r="A107" s="45" t="s">
        <v>211</v>
      </c>
      <c r="B107" s="46"/>
      <c r="C107" s="46"/>
      <c r="D107" s="112" t="s">
        <v>37</v>
      </c>
      <c r="E107" s="113"/>
      <c r="F107" s="114"/>
      <c r="G107" s="115">
        <f>SUMIF($F$101:$F$106,D107,$G$101:$G$106)</f>
        <v>0</v>
      </c>
      <c r="H107" s="49">
        <f>SUMIF($F$101:$F$106,D107,$H$101:$H$106)</f>
        <v>0</v>
      </c>
      <c r="I107" s="42"/>
      <c r="J107" s="49">
        <f>SUMIF($F$101:$F$106,D107,$J$101:$J$106)</f>
        <v>0</v>
      </c>
      <c r="K107" s="49">
        <f>SUMIF($F$101:$F$106,D107,$K$101:$K$106)</f>
        <v>0</v>
      </c>
      <c r="L107" s="49">
        <f>SUMIF($F$101:$F$106,D107,$L$101:$L$106)</f>
        <v>0</v>
      </c>
      <c r="M107" s="42"/>
      <c r="N107" s="234"/>
      <c r="O107" s="91"/>
      <c r="P107" s="91"/>
      <c r="Q107" s="92"/>
    </row>
    <row r="108" spans="1:17" s="44" customFormat="1" ht="27" customHeight="1" x14ac:dyDescent="0.25">
      <c r="A108" s="45"/>
      <c r="B108" s="46"/>
      <c r="C108" s="46"/>
      <c r="D108" s="116" t="s">
        <v>3</v>
      </c>
      <c r="E108" s="117"/>
      <c r="F108" s="48"/>
      <c r="G108" s="115">
        <f>SUMIF($F$101:$F$106,D108,$G$101:$G$106)</f>
        <v>24909500000</v>
      </c>
      <c r="H108" s="49">
        <f>SUMIF($F$101:$F$106,D108,$H$101:$H$106)</f>
        <v>24586795000</v>
      </c>
      <c r="I108" s="49"/>
      <c r="J108" s="49">
        <f>SUMIF($F$101:$F$106,D108,$J$101:$J$106)</f>
        <v>12126544341.400009</v>
      </c>
      <c r="K108" s="49">
        <f>SUMIF($F$101:$F$106,D108,$K$101:$K$106)</f>
        <v>377162855.80000001</v>
      </c>
      <c r="L108" s="49">
        <f>SUMIF($F$101:$F$106,D108,$L$101:$L$106)</f>
        <v>12460250658.599991</v>
      </c>
      <c r="M108" s="49"/>
      <c r="N108" s="235"/>
      <c r="O108" s="91"/>
      <c r="P108" s="91"/>
      <c r="Q108" s="92"/>
    </row>
    <row r="109" spans="1:17" s="44" customFormat="1" ht="28.5" customHeight="1" x14ac:dyDescent="0.25">
      <c r="A109" s="45"/>
      <c r="B109" s="46"/>
      <c r="C109" s="46"/>
      <c r="D109" s="116" t="s">
        <v>59</v>
      </c>
      <c r="E109" s="117"/>
      <c r="F109" s="48"/>
      <c r="G109" s="115">
        <f>SUMIF($F$101:$F$106,D109,$G$101:$G$106)</f>
        <v>0</v>
      </c>
      <c r="H109" s="49">
        <f>SUMIF($F$101:$F$106,D109,$H$101:$H$106)</f>
        <v>0</v>
      </c>
      <c r="I109" s="49"/>
      <c r="J109" s="49">
        <f>SUMIF($F$101:$F$106,D109,$J$101:$J$106)</f>
        <v>0</v>
      </c>
      <c r="K109" s="49">
        <f>SUMIF($F$101:$F$106,D109,$K$101:$K$106)</f>
        <v>0</v>
      </c>
      <c r="L109" s="49">
        <f>SUMIF($F$101:$F$106,D109,$L$101:$L$106)</f>
        <v>0</v>
      </c>
      <c r="M109" s="49">
        <f>SUM(M101:M106)</f>
        <v>30783533.015292615</v>
      </c>
      <c r="N109" s="235"/>
      <c r="O109" s="43"/>
      <c r="P109" s="43"/>
    </row>
    <row r="110" spans="1:17" s="44" customFormat="1" ht="30" customHeight="1" thickBot="1" x14ac:dyDescent="0.3">
      <c r="A110" s="50"/>
      <c r="B110" s="51"/>
      <c r="C110" s="51"/>
      <c r="D110" s="118" t="s">
        <v>80</v>
      </c>
      <c r="E110" s="119"/>
      <c r="F110" s="53"/>
      <c r="G110" s="54">
        <f>SUMIF($F$101:$F$106,D110,$G$101:$G$106)</f>
        <v>0</v>
      </c>
      <c r="H110" s="54">
        <f>SUMIF($F$101:$F$106,D110,$H$101:$H$106)</f>
        <v>0</v>
      </c>
      <c r="I110" s="54"/>
      <c r="J110" s="54">
        <f>SUMIF($F$101:$F$106,D110,$J$101:$J$106)</f>
        <v>0</v>
      </c>
      <c r="K110" s="54">
        <f>SUMIF($F$101:$F$106,D110,$K$101:$K$106)</f>
        <v>0</v>
      </c>
      <c r="L110" s="54">
        <f>SUMIF($F$101:$F$106,D110,$L$101:$L$106)</f>
        <v>0</v>
      </c>
      <c r="M110" s="54"/>
      <c r="N110" s="236"/>
      <c r="O110" s="43"/>
      <c r="P110" s="43"/>
    </row>
    <row r="111" spans="1:17" s="92" customFormat="1" ht="121.5" outlineLevel="1" x14ac:dyDescent="0.2">
      <c r="A111" s="55">
        <v>67</v>
      </c>
      <c r="B111" s="217" t="s">
        <v>212</v>
      </c>
      <c r="C111" s="217" t="s">
        <v>213</v>
      </c>
      <c r="D111" s="108"/>
      <c r="E111" s="163" t="s">
        <v>214</v>
      </c>
      <c r="F111" s="64" t="s">
        <v>3</v>
      </c>
      <c r="G111" s="218">
        <v>574491741</v>
      </c>
      <c r="H111" s="218">
        <v>574491741</v>
      </c>
      <c r="I111" s="219">
        <v>1E-4</v>
      </c>
      <c r="J111" s="60"/>
      <c r="K111" s="60">
        <f>85623+14165</f>
        <v>99788</v>
      </c>
      <c r="L111" s="196">
        <f t="shared" si="5"/>
        <v>574491741</v>
      </c>
      <c r="M111" s="60">
        <f>IF(F111=$B$144,L111,IF(F111=$B$146,L111*$C$146/$C$144,IF(F111=$B$145,L111*$C$145/$C$144,IF(F111=$B$143,L111/$C$144))))</f>
        <v>1419304.1505052252</v>
      </c>
      <c r="N111" s="245" t="s">
        <v>215</v>
      </c>
      <c r="O111" s="91"/>
      <c r="P111" s="91"/>
    </row>
    <row r="112" spans="1:17" s="92" customFormat="1" ht="121.5" outlineLevel="1" x14ac:dyDescent="0.2">
      <c r="A112" s="63">
        <v>68</v>
      </c>
      <c r="B112" s="107" t="s">
        <v>216</v>
      </c>
      <c r="C112" s="107" t="s">
        <v>213</v>
      </c>
      <c r="D112" s="108"/>
      <c r="E112" s="163" t="s">
        <v>217</v>
      </c>
      <c r="F112" s="64" t="s">
        <v>3</v>
      </c>
      <c r="G112" s="104">
        <v>98612371</v>
      </c>
      <c r="H112" s="89">
        <v>98612371</v>
      </c>
      <c r="I112" s="190">
        <v>1E-4</v>
      </c>
      <c r="J112" s="65"/>
      <c r="K112" s="65">
        <v>17060</v>
      </c>
      <c r="L112" s="110">
        <f t="shared" si="5"/>
        <v>98612371</v>
      </c>
      <c r="M112" s="60">
        <f>IF(F112=$B$144,L112,IF(F112=$B$146,L112*$C$146/$C$144,IF(F112=$B$145,L112*$C$145/$C$144,IF(F112=$B$143,L112/$C$144))))</f>
        <v>243625.69113323616</v>
      </c>
      <c r="N112" s="243" t="s">
        <v>218</v>
      </c>
      <c r="O112" s="91"/>
      <c r="P112" s="91"/>
    </row>
    <row r="113" spans="1:16" s="92" customFormat="1" ht="121.5" outlineLevel="1" x14ac:dyDescent="0.2">
      <c r="A113" s="63">
        <v>69</v>
      </c>
      <c r="B113" s="107" t="s">
        <v>219</v>
      </c>
      <c r="C113" s="107" t="s">
        <v>213</v>
      </c>
      <c r="D113" s="108"/>
      <c r="E113" s="163" t="s">
        <v>220</v>
      </c>
      <c r="F113" s="64" t="s">
        <v>3</v>
      </c>
      <c r="G113" s="104">
        <v>60132468</v>
      </c>
      <c r="H113" s="89">
        <v>60132468</v>
      </c>
      <c r="I113" s="190">
        <v>1E-4</v>
      </c>
      <c r="J113" s="65">
        <f>4625574.5</f>
        <v>4625574.5</v>
      </c>
      <c r="K113" s="65">
        <f>10367+1511.2</f>
        <v>11878.2</v>
      </c>
      <c r="L113" s="110">
        <f t="shared" si="5"/>
        <v>55506893.5</v>
      </c>
      <c r="M113" s="60">
        <f>IF(F113=$B$144,L113,IF(F113=$B$146,L113*$C$146/$C$144,IF(F113=$B$145,L113*$C$145/$C$144,IF(F113=$B$143,L113/$C$144))))</f>
        <v>137131.93542011513</v>
      </c>
      <c r="N113" s="243" t="s">
        <v>221</v>
      </c>
      <c r="O113" s="120"/>
      <c r="P113" s="120"/>
    </row>
    <row r="114" spans="1:16" s="92" customFormat="1" ht="121.5" outlineLevel="1" x14ac:dyDescent="0.2">
      <c r="A114" s="63">
        <v>70</v>
      </c>
      <c r="B114" s="107" t="s">
        <v>222</v>
      </c>
      <c r="C114" s="107" t="s">
        <v>213</v>
      </c>
      <c r="D114" s="108"/>
      <c r="E114" s="163" t="s">
        <v>223</v>
      </c>
      <c r="F114" s="64" t="s">
        <v>3</v>
      </c>
      <c r="G114" s="65">
        <f>9500000+12453199</f>
        <v>21953199</v>
      </c>
      <c r="H114" s="89">
        <f>9500000+12453199</f>
        <v>21953199</v>
      </c>
      <c r="I114" s="190">
        <v>1E-4</v>
      </c>
      <c r="J114" s="65"/>
      <c r="K114" s="65">
        <v>3720</v>
      </c>
      <c r="L114" s="110">
        <f t="shared" si="5"/>
        <v>21953199</v>
      </c>
      <c r="M114" s="60">
        <f>IF(F114=$B$144,L114,IF(F114=$B$146,L114*$C$146/$C$144,IF(F114=$B$145,L114*$C$145/$C$144,IF(F114=$B$143,L114/$C$144))))</f>
        <v>54236.230451861557</v>
      </c>
      <c r="N114" s="243" t="s">
        <v>224</v>
      </c>
      <c r="O114" s="120"/>
      <c r="P114" s="120"/>
    </row>
    <row r="115" spans="1:16" s="92" customFormat="1" ht="129.75" customHeight="1" outlineLevel="1" x14ac:dyDescent="0.2">
      <c r="A115" s="63">
        <v>71</v>
      </c>
      <c r="B115" s="107" t="s">
        <v>225</v>
      </c>
      <c r="C115" s="107" t="s">
        <v>213</v>
      </c>
      <c r="D115" s="108"/>
      <c r="E115" s="163" t="s">
        <v>226</v>
      </c>
      <c r="F115" s="64" t="s">
        <v>3</v>
      </c>
      <c r="G115" s="104">
        <v>15801400</v>
      </c>
      <c r="H115" s="89">
        <v>15801400</v>
      </c>
      <c r="I115" s="190">
        <v>1E-4</v>
      </c>
      <c r="J115" s="65"/>
      <c r="K115" s="65">
        <v>3500</v>
      </c>
      <c r="L115" s="110">
        <f t="shared" si="5"/>
        <v>15801400</v>
      </c>
      <c r="M115" s="60">
        <f>IF(F115=$B$144,L115,IF(F115=$B$146,L115*$C$146/$C$144,IF(F115=$B$145,L115*$C$145/$C$144,IF(F115=$B$143,L115/$C$144))))</f>
        <v>39037.972181732839</v>
      </c>
      <c r="N115" s="243" t="s">
        <v>227</v>
      </c>
      <c r="O115" s="120"/>
      <c r="P115" s="120"/>
    </row>
    <row r="116" spans="1:16" s="92" customFormat="1" ht="129.75" customHeight="1" outlineLevel="1" x14ac:dyDescent="0.2">
      <c r="A116" s="63">
        <v>72</v>
      </c>
      <c r="B116" s="107" t="s">
        <v>228</v>
      </c>
      <c r="C116" s="107" t="s">
        <v>213</v>
      </c>
      <c r="D116" s="108"/>
      <c r="E116" s="163" t="s">
        <v>226</v>
      </c>
      <c r="F116" s="64" t="s">
        <v>3</v>
      </c>
      <c r="G116" s="104">
        <v>2554000</v>
      </c>
      <c r="H116" s="89">
        <v>2554000</v>
      </c>
      <c r="I116" s="190">
        <v>1E-4</v>
      </c>
      <c r="J116" s="65"/>
      <c r="K116" s="65">
        <f>500</f>
        <v>500</v>
      </c>
      <c r="L116" s="110">
        <f t="shared" si="5"/>
        <v>2554000</v>
      </c>
      <c r="M116" s="60">
        <f>IF(F116=$B$144,L116,IF(F116=$B$146,L116*$C$146/$C$144,IF(F116=$B$145,L116*$C$145/$C$144,IF(F116=$B$143,L116/$C$144))))</f>
        <v>6309.7561578180203</v>
      </c>
      <c r="N116" s="243" t="s">
        <v>229</v>
      </c>
      <c r="O116" s="120"/>
      <c r="P116" s="120"/>
    </row>
    <row r="117" spans="1:16" s="92" customFormat="1" ht="129.75" customHeight="1" outlineLevel="1" x14ac:dyDescent="0.2">
      <c r="A117" s="63">
        <v>73</v>
      </c>
      <c r="B117" s="107" t="s">
        <v>230</v>
      </c>
      <c r="C117" s="107" t="s">
        <v>213</v>
      </c>
      <c r="D117" s="108"/>
      <c r="E117" s="163" t="s">
        <v>231</v>
      </c>
      <c r="F117" s="64" t="s">
        <v>3</v>
      </c>
      <c r="G117" s="104">
        <v>29053320</v>
      </c>
      <c r="H117" s="89">
        <v>29053320</v>
      </c>
      <c r="I117" s="190">
        <v>1E-4</v>
      </c>
      <c r="J117" s="65"/>
      <c r="K117" s="65">
        <f>2000+3000</f>
        <v>5000</v>
      </c>
      <c r="L117" s="110">
        <f t="shared" si="5"/>
        <v>29053320</v>
      </c>
      <c r="M117" s="60">
        <f>IF(F117=$B$144,L117,IF(F117=$B$146,L117*$C$146/$C$144,IF(F117=$B$145,L117*$C$145/$C$144,IF(F117=$B$143,L117/$C$144))))</f>
        <v>71777.355041134477</v>
      </c>
      <c r="N117" s="243" t="s">
        <v>232</v>
      </c>
      <c r="O117" s="120"/>
      <c r="P117" s="120"/>
    </row>
    <row r="118" spans="1:16" s="92" customFormat="1" ht="129.75" customHeight="1" outlineLevel="1" x14ac:dyDescent="0.2">
      <c r="A118" s="63">
        <v>74</v>
      </c>
      <c r="B118" s="107" t="s">
        <v>233</v>
      </c>
      <c r="C118" s="107" t="s">
        <v>213</v>
      </c>
      <c r="D118" s="108"/>
      <c r="E118" s="163" t="s">
        <v>234</v>
      </c>
      <c r="F118" s="64" t="s">
        <v>3</v>
      </c>
      <c r="G118" s="104">
        <v>192064443</v>
      </c>
      <c r="H118" s="89">
        <f>95000000+97064443</f>
        <v>192064443</v>
      </c>
      <c r="I118" s="190">
        <v>1E-4</v>
      </c>
      <c r="J118" s="65"/>
      <c r="K118" s="65">
        <f>16100+12200</f>
        <v>28300</v>
      </c>
      <c r="L118" s="110">
        <f t="shared" si="5"/>
        <v>192064443</v>
      </c>
      <c r="M118" s="60">
        <f>IF(F118=$B$144,L118,IF(F118=$B$146,L118*$C$146/$C$144,IF(F118=$B$145,L118*$C$145/$C$144,IF(F118=$B$143,L118/$C$144))))</f>
        <v>474502.66324085282</v>
      </c>
      <c r="N118" s="243" t="s">
        <v>235</v>
      </c>
      <c r="O118" s="120"/>
      <c r="P118" s="120"/>
    </row>
    <row r="119" spans="1:16" s="92" customFormat="1" ht="129.75" customHeight="1" outlineLevel="1" x14ac:dyDescent="0.2">
      <c r="A119" s="63">
        <v>75</v>
      </c>
      <c r="B119" s="107" t="s">
        <v>237</v>
      </c>
      <c r="C119" s="107" t="s">
        <v>213</v>
      </c>
      <c r="D119" s="108"/>
      <c r="E119" s="163" t="s">
        <v>236</v>
      </c>
      <c r="F119" s="64" t="s">
        <v>3</v>
      </c>
      <c r="G119" s="104">
        <v>3469534</v>
      </c>
      <c r="H119" s="89">
        <v>3469534</v>
      </c>
      <c r="I119" s="190">
        <v>1E-4</v>
      </c>
      <c r="J119" s="65">
        <v>266887</v>
      </c>
      <c r="K119" s="65">
        <f>600+86</f>
        <v>686</v>
      </c>
      <c r="L119" s="110">
        <f t="shared" si="5"/>
        <v>3202647</v>
      </c>
      <c r="M119" s="60">
        <f>IF(F119=$B$144,L119,IF(F119=$B$146,L119*$C$146/$C$144,IF(F119=$B$145,L119*$C$145/$C$144,IF(F119=$B$143,L119/$C$144))))</f>
        <v>7912.263754724906</v>
      </c>
      <c r="N119" s="243" t="s">
        <v>238</v>
      </c>
      <c r="O119" s="120"/>
      <c r="P119" s="120"/>
    </row>
    <row r="120" spans="1:16" s="92" customFormat="1" ht="129.75" customHeight="1" outlineLevel="1" x14ac:dyDescent="0.2">
      <c r="A120" s="63">
        <v>76</v>
      </c>
      <c r="B120" s="107" t="s">
        <v>239</v>
      </c>
      <c r="C120" s="107" t="s">
        <v>213</v>
      </c>
      <c r="D120" s="108"/>
      <c r="E120" s="163" t="s">
        <v>240</v>
      </c>
      <c r="F120" s="64" t="s">
        <v>3</v>
      </c>
      <c r="G120" s="104">
        <v>11781702</v>
      </c>
      <c r="H120" s="89">
        <v>11781702</v>
      </c>
      <c r="I120" s="190">
        <v>1E-4</v>
      </c>
      <c r="J120" s="65">
        <f>906285</f>
        <v>906285</v>
      </c>
      <c r="K120" s="65">
        <f>3000+1500</f>
        <v>4500</v>
      </c>
      <c r="L120" s="110">
        <f t="shared" si="5"/>
        <v>10875417</v>
      </c>
      <c r="M120" s="60">
        <f>IF(F120=$B$144,L120,IF(F120=$B$146,L120*$C$146/$C$144,IF(F120=$B$145,L120*$C$145/$C$144,IF(F120=$B$143,L120/$C$144))))</f>
        <v>26868.139931319023</v>
      </c>
      <c r="N120" s="243" t="s">
        <v>241</v>
      </c>
      <c r="O120" s="120"/>
      <c r="P120" s="120"/>
    </row>
    <row r="121" spans="1:16" s="92" customFormat="1" ht="129.75" customHeight="1" outlineLevel="1" x14ac:dyDescent="0.2">
      <c r="A121" s="63">
        <v>77</v>
      </c>
      <c r="B121" s="107" t="s">
        <v>242</v>
      </c>
      <c r="C121" s="107" t="s">
        <v>213</v>
      </c>
      <c r="D121" s="108"/>
      <c r="E121" s="163" t="s">
        <v>243</v>
      </c>
      <c r="F121" s="64" t="s">
        <v>3</v>
      </c>
      <c r="G121" s="104">
        <f>112000000+16200000</f>
        <v>128200000</v>
      </c>
      <c r="H121" s="89">
        <f>112000000+16200000</f>
        <v>128200000</v>
      </c>
      <c r="I121" s="190">
        <v>1E-4</v>
      </c>
      <c r="J121" s="65"/>
      <c r="K121" s="65">
        <f>25640+12820</f>
        <v>38460</v>
      </c>
      <c r="L121" s="110">
        <f t="shared" si="5"/>
        <v>128200000</v>
      </c>
      <c r="M121" s="60">
        <f>IF(F121=$B$144,L121,IF(F121=$B$146,L121*$C$146/$C$144,IF(F121=$B$145,L121*$C$145/$C$144,IF(F121=$B$143,L121/$C$144))))</f>
        <v>316723.07730315981</v>
      </c>
      <c r="N121" s="243" t="s">
        <v>244</v>
      </c>
      <c r="O121" s="120"/>
      <c r="P121" s="120"/>
    </row>
    <row r="122" spans="1:16" s="92" customFormat="1" ht="129.75" customHeight="1" outlineLevel="1" x14ac:dyDescent="0.2">
      <c r="A122" s="63">
        <v>78</v>
      </c>
      <c r="B122" s="107" t="s">
        <v>245</v>
      </c>
      <c r="C122" s="107" t="s">
        <v>213</v>
      </c>
      <c r="D122" s="108"/>
      <c r="E122" s="163" t="s">
        <v>246</v>
      </c>
      <c r="F122" s="64" t="s">
        <v>3</v>
      </c>
      <c r="G122" s="104">
        <v>26127500</v>
      </c>
      <c r="H122" s="89">
        <v>26127500</v>
      </c>
      <c r="I122" s="190">
        <v>1E-4</v>
      </c>
      <c r="J122" s="65"/>
      <c r="K122" s="65">
        <f>4530</f>
        <v>4530</v>
      </c>
      <c r="L122" s="110">
        <f t="shared" si="5"/>
        <v>26127500</v>
      </c>
      <c r="M122" s="60">
        <f>IF(F122=$B$144,L122,IF(F122=$B$146,L122*$C$146/$C$144,IF(F122=$B$145,L122*$C$145/$C$144,IF(F122=$B$143,L122/$C$144))))</f>
        <v>64549.00313758431</v>
      </c>
      <c r="N122" s="243" t="s">
        <v>247</v>
      </c>
      <c r="O122" s="120"/>
      <c r="P122" s="120"/>
    </row>
    <row r="123" spans="1:16" s="92" customFormat="1" ht="129.75" customHeight="1" outlineLevel="1" x14ac:dyDescent="0.2">
      <c r="A123" s="63">
        <v>79</v>
      </c>
      <c r="B123" s="107" t="s">
        <v>248</v>
      </c>
      <c r="C123" s="107" t="s">
        <v>213</v>
      </c>
      <c r="D123" s="108"/>
      <c r="E123" s="163" t="s">
        <v>249</v>
      </c>
      <c r="F123" s="64" t="s">
        <v>3</v>
      </c>
      <c r="G123" s="104">
        <v>19297200</v>
      </c>
      <c r="H123" s="89">
        <f>10800000+3440000+1440000+3617200</f>
        <v>19297200</v>
      </c>
      <c r="I123" s="190">
        <v>1E-4</v>
      </c>
      <c r="J123" s="65"/>
      <c r="K123" s="65">
        <f>3000</f>
        <v>3000</v>
      </c>
      <c r="L123" s="110">
        <f t="shared" si="5"/>
        <v>19297200</v>
      </c>
      <c r="M123" s="60">
        <f>IF(F123=$B$144,L123,IF(F123=$B$146,L123*$C$146/$C$144,IF(F123=$B$145,L123*$C$145/$C$144,IF(F123=$B$143,L123/$C$144))))</f>
        <v>47674.481804481562</v>
      </c>
      <c r="N123" s="243" t="s">
        <v>250</v>
      </c>
      <c r="O123" s="120"/>
      <c r="P123" s="120"/>
    </row>
    <row r="124" spans="1:16" s="92" customFormat="1" ht="129.75" customHeight="1" outlineLevel="1" x14ac:dyDescent="0.2">
      <c r="A124" s="63">
        <v>80</v>
      </c>
      <c r="B124" s="107" t="s">
        <v>251</v>
      </c>
      <c r="C124" s="107" t="s">
        <v>213</v>
      </c>
      <c r="D124" s="108"/>
      <c r="E124" s="163" t="s">
        <v>236</v>
      </c>
      <c r="F124" s="64" t="s">
        <v>3</v>
      </c>
      <c r="G124" s="104">
        <v>2164000</v>
      </c>
      <c r="H124" s="89">
        <v>2164000</v>
      </c>
      <c r="I124" s="190">
        <v>1E-4</v>
      </c>
      <c r="J124" s="65">
        <f>166462</f>
        <v>166462</v>
      </c>
      <c r="K124" s="65">
        <f>370+54.8</f>
        <v>424.8</v>
      </c>
      <c r="L124" s="110">
        <f>H124-K124</f>
        <v>2163575.2000000002</v>
      </c>
      <c r="M124" s="60">
        <f>IF(F124=$B$144,L124,IF(F124=$B$146,L124*$C$146/$C$144,IF(F124=$B$145,L124*$C$145/$C$144,IF(F124=$B$143,L124/$C$144))))</f>
        <v>5345.196531363491</v>
      </c>
      <c r="N124" s="243" t="s">
        <v>252</v>
      </c>
      <c r="O124" s="120"/>
      <c r="P124" s="120"/>
    </row>
    <row r="125" spans="1:16" s="92" customFormat="1" ht="129.75" customHeight="1" outlineLevel="1" x14ac:dyDescent="0.2">
      <c r="A125" s="63">
        <v>81</v>
      </c>
      <c r="B125" s="107" t="s">
        <v>253</v>
      </c>
      <c r="C125" s="107" t="s">
        <v>213</v>
      </c>
      <c r="D125" s="107"/>
      <c r="E125" s="163" t="s">
        <v>254</v>
      </c>
      <c r="F125" s="64" t="s">
        <v>3</v>
      </c>
      <c r="G125" s="104">
        <v>253504102</v>
      </c>
      <c r="H125" s="89">
        <v>253504102</v>
      </c>
      <c r="I125" s="190">
        <v>1E-4</v>
      </c>
      <c r="J125" s="65"/>
      <c r="K125" s="65">
        <f>5973+6390+6181+6389+6181.4</f>
        <v>31114.400000000001</v>
      </c>
      <c r="L125" s="110">
        <f t="shared" ref="L125:L131" si="6">H125-J125</f>
        <v>253504102</v>
      </c>
      <c r="M125" s="60">
        <f>IF(F125=$B$144,L125,IF(F125=$B$146,L125*$C$146/$C$144,IF(F125=$B$145,L125*$C$145/$C$144,IF(F125=$B$143,L125/$C$144))))</f>
        <v>626291.72616547672</v>
      </c>
      <c r="N125" s="243" t="s">
        <v>255</v>
      </c>
      <c r="O125" s="120"/>
      <c r="P125" s="120"/>
    </row>
    <row r="126" spans="1:16" s="92" customFormat="1" ht="129.75" customHeight="1" outlineLevel="1" x14ac:dyDescent="0.2">
      <c r="A126" s="63">
        <v>82</v>
      </c>
      <c r="B126" s="107" t="s">
        <v>256</v>
      </c>
      <c r="C126" s="107" t="s">
        <v>213</v>
      </c>
      <c r="D126" s="108"/>
      <c r="E126" s="163" t="s">
        <v>254</v>
      </c>
      <c r="F126" s="64" t="s">
        <v>3</v>
      </c>
      <c r="G126" s="104">
        <v>76200000</v>
      </c>
      <c r="H126" s="89">
        <v>76200000</v>
      </c>
      <c r="I126" s="190">
        <v>1E-4</v>
      </c>
      <c r="J126" s="65"/>
      <c r="K126" s="65">
        <v>7620</v>
      </c>
      <c r="L126" s="110">
        <f t="shared" si="6"/>
        <v>76200000</v>
      </c>
      <c r="M126" s="60">
        <f>IF(F126=$B$144,L126,IF(F126=$B$146,L126*$C$146/$C$144,IF(F126=$B$145,L126*$C$145/$C$144,IF(F126=$B$143,L126/$C$144))))</f>
        <v>188255.05842824321</v>
      </c>
      <c r="N126" s="243" t="s">
        <v>257</v>
      </c>
      <c r="O126" s="120"/>
      <c r="P126" s="120"/>
    </row>
    <row r="127" spans="1:16" s="92" customFormat="1" ht="121.5" outlineLevel="1" x14ac:dyDescent="0.2">
      <c r="A127" s="63">
        <v>83</v>
      </c>
      <c r="B127" s="107" t="s">
        <v>258</v>
      </c>
      <c r="C127" s="107" t="s">
        <v>213</v>
      </c>
      <c r="D127" s="108"/>
      <c r="E127" s="163" t="s">
        <v>259</v>
      </c>
      <c r="F127" s="64" t="s">
        <v>3</v>
      </c>
      <c r="G127" s="104">
        <v>50613970</v>
      </c>
      <c r="H127" s="89">
        <v>50613970</v>
      </c>
      <c r="I127" s="190">
        <v>1E-4</v>
      </c>
      <c r="J127" s="65"/>
      <c r="K127" s="65">
        <f>8800+8800</f>
        <v>17600</v>
      </c>
      <c r="L127" s="110">
        <f t="shared" si="6"/>
        <v>50613970</v>
      </c>
      <c r="M127" s="60">
        <f>IF(F127=$B$144,L127,IF(F127=$B$146,L127*$C$146/$C$144,IF(F127=$B$145,L127*$C$145/$C$144,IF(F127=$B$143,L127/$C$144))))</f>
        <v>125043.77794797046</v>
      </c>
      <c r="N127" s="243" t="s">
        <v>260</v>
      </c>
      <c r="O127" s="120"/>
      <c r="P127" s="120"/>
    </row>
    <row r="128" spans="1:16" s="92" customFormat="1" ht="121.5" outlineLevel="1" x14ac:dyDescent="0.2">
      <c r="A128" s="63">
        <v>84</v>
      </c>
      <c r="B128" s="107" t="s">
        <v>261</v>
      </c>
      <c r="C128" s="107" t="s">
        <v>213</v>
      </c>
      <c r="D128" s="108"/>
      <c r="E128" s="163" t="s">
        <v>262</v>
      </c>
      <c r="F128" s="64" t="s">
        <v>3</v>
      </c>
      <c r="G128" s="104">
        <v>184740000</v>
      </c>
      <c r="H128" s="89">
        <v>184740000</v>
      </c>
      <c r="I128" s="190">
        <v>1E-4</v>
      </c>
      <c r="J128" s="65"/>
      <c r="K128" s="65">
        <f>31700</f>
        <v>31700</v>
      </c>
      <c r="L128" s="110">
        <f t="shared" si="6"/>
        <v>184740000</v>
      </c>
      <c r="M128" s="60">
        <f>IF(F128=$B$144,L128,IF(F128=$B$146,L128*$C$146/$C$144,IF(F128=$B$145,L128*$C$145/$C$144,IF(F128=$B$143,L128/$C$144))))</f>
        <v>456407.34244138649</v>
      </c>
      <c r="N128" s="243" t="s">
        <v>263</v>
      </c>
      <c r="O128" s="120"/>
      <c r="P128" s="120"/>
    </row>
    <row r="129" spans="1:16" s="92" customFormat="1" ht="121.5" outlineLevel="1" x14ac:dyDescent="0.2">
      <c r="A129" s="63">
        <v>85</v>
      </c>
      <c r="B129" s="107" t="s">
        <v>264</v>
      </c>
      <c r="C129" s="107" t="s">
        <v>213</v>
      </c>
      <c r="D129" s="108"/>
      <c r="E129" s="163" t="s">
        <v>265</v>
      </c>
      <c r="F129" s="64" t="s">
        <v>3</v>
      </c>
      <c r="G129" s="104">
        <v>219559596</v>
      </c>
      <c r="H129" s="89">
        <v>219559596</v>
      </c>
      <c r="I129" s="190">
        <v>1E-4</v>
      </c>
      <c r="J129" s="65"/>
      <c r="K129" s="65">
        <f>5294+5294+27550</f>
        <v>38138</v>
      </c>
      <c r="L129" s="110">
        <f t="shared" si="6"/>
        <v>219559596</v>
      </c>
      <c r="M129" s="60">
        <f>IF(F129=$B$144,L129,IF(F129=$B$146,L129*$C$146/$C$144,IF(F129=$B$145,L129*$C$145/$C$144,IF(F129=$B$143,L129/$C$144))))</f>
        <v>542430.50621340517</v>
      </c>
      <c r="N129" s="243" t="s">
        <v>266</v>
      </c>
      <c r="O129" s="120"/>
      <c r="P129" s="120"/>
    </row>
    <row r="130" spans="1:16" s="92" customFormat="1" ht="121.5" outlineLevel="1" x14ac:dyDescent="0.2">
      <c r="A130" s="63">
        <v>86</v>
      </c>
      <c r="B130" s="107" t="s">
        <v>267</v>
      </c>
      <c r="C130" s="107" t="s">
        <v>213</v>
      </c>
      <c r="D130" s="108"/>
      <c r="E130" s="163" t="s">
        <v>262</v>
      </c>
      <c r="F130" s="64" t="s">
        <v>3</v>
      </c>
      <c r="G130" s="104">
        <v>29081500</v>
      </c>
      <c r="H130" s="89">
        <v>29081500</v>
      </c>
      <c r="I130" s="190">
        <v>1E-4</v>
      </c>
      <c r="J130" s="65"/>
      <c r="K130" s="65">
        <f>1000+4000</f>
        <v>5000</v>
      </c>
      <c r="L130" s="110">
        <f t="shared" si="6"/>
        <v>29081500</v>
      </c>
      <c r="M130" s="60">
        <f>IF(F130=$B$144,L130,IF(F130=$B$146,L130*$C$146/$C$144,IF(F130=$B$145,L130*$C$145/$C$144,IF(F130=$B$143,L130/$C$144))))</f>
        <v>71846.974825209385</v>
      </c>
      <c r="N130" s="243" t="s">
        <v>268</v>
      </c>
      <c r="O130" s="120"/>
      <c r="P130" s="120"/>
    </row>
    <row r="131" spans="1:16" s="92" customFormat="1" ht="123" customHeight="1" outlineLevel="1" thickBot="1" x14ac:dyDescent="0.25">
      <c r="A131" s="63">
        <v>87</v>
      </c>
      <c r="B131" s="107" t="s">
        <v>269</v>
      </c>
      <c r="C131" s="107" t="s">
        <v>213</v>
      </c>
      <c r="D131" s="108"/>
      <c r="E131" s="163" t="s">
        <v>270</v>
      </c>
      <c r="F131" s="64" t="s">
        <v>3</v>
      </c>
      <c r="G131" s="104">
        <v>12060940</v>
      </c>
      <c r="H131" s="218">
        <v>12060940</v>
      </c>
      <c r="I131" s="190">
        <v>1E-4</v>
      </c>
      <c r="J131" s="65"/>
      <c r="K131" s="65">
        <v>2170</v>
      </c>
      <c r="L131" s="110">
        <f t="shared" si="6"/>
        <v>12060940</v>
      </c>
      <c r="M131" s="60">
        <f>IF(F131=$B$144,L131,IF(F131=$B$146,L131*$C$146/$C$144,IF(F131=$B$145,L131*$C$145/$C$144,IF(F131=$B$143,L131/$C$144))))</f>
        <v>29797.020530177633</v>
      </c>
      <c r="N131" s="243" t="s">
        <v>271</v>
      </c>
      <c r="O131" s="120"/>
      <c r="P131" s="120"/>
    </row>
    <row r="132" spans="1:16" s="44" customFormat="1" ht="30" customHeight="1" x14ac:dyDescent="0.25">
      <c r="A132" s="121" t="s">
        <v>272</v>
      </c>
      <c r="B132" s="122"/>
      <c r="C132" s="122"/>
      <c r="D132" s="112" t="s">
        <v>37</v>
      </c>
      <c r="E132" s="113"/>
      <c r="F132" s="114"/>
      <c r="G132" s="41">
        <f>SUMIF($F$111:$F$131,D132,$G$111:$G$131)</f>
        <v>0</v>
      </c>
      <c r="H132" s="42">
        <f>SUMIF($F$101:$F$131,D132,$H$101:$H$131)</f>
        <v>0</v>
      </c>
      <c r="I132" s="42"/>
      <c r="J132" s="42">
        <f>SUMIF($F$101:$F$131,D132,$J$101:$J$131)</f>
        <v>0</v>
      </c>
      <c r="K132" s="42">
        <f>SUMIF($F$101:$F$131,D132,$K$101:$K$131)</f>
        <v>0</v>
      </c>
      <c r="L132" s="42">
        <f>SUMIF($F$101:$F$131,D132,$L$101:$L$131)</f>
        <v>0</v>
      </c>
      <c r="M132" s="42"/>
      <c r="N132" s="234"/>
      <c r="O132" s="43"/>
      <c r="P132" s="43"/>
    </row>
    <row r="133" spans="1:16" s="44" customFormat="1" ht="27" customHeight="1" x14ac:dyDescent="0.25">
      <c r="A133" s="45"/>
      <c r="B133" s="46"/>
      <c r="C133" s="46"/>
      <c r="D133" s="116" t="s">
        <v>3</v>
      </c>
      <c r="E133" s="117"/>
      <c r="F133" s="48"/>
      <c r="G133" s="49">
        <f>SUMIF($F$111:$F$131,D133,$G$111:$G$131)</f>
        <v>2011462986</v>
      </c>
      <c r="H133" s="49">
        <f>SUMIF($F$111:$F$131,D133,$H$111:$H$131)</f>
        <v>2011462986</v>
      </c>
      <c r="I133" s="49"/>
      <c r="J133" s="49">
        <f>SUMIF($F$111:$F$131,D133,$J$111:$J$131)</f>
        <v>5965208.5</v>
      </c>
      <c r="K133" s="49">
        <f>SUMIF($F$111:$F$131,D133,$K$111:$K$131)</f>
        <v>354689.4</v>
      </c>
      <c r="L133" s="49">
        <f>SUMIF($F$111:$F$131,D133,$L$111:$L$131)</f>
        <v>2005663814.7</v>
      </c>
      <c r="M133" s="49"/>
      <c r="N133" s="235"/>
      <c r="O133" s="43"/>
      <c r="P133" s="43"/>
    </row>
    <row r="134" spans="1:16" s="44" customFormat="1" ht="28.5" customHeight="1" x14ac:dyDescent="0.25">
      <c r="A134" s="45"/>
      <c r="B134" s="46"/>
      <c r="C134" s="46"/>
      <c r="D134" s="116" t="s">
        <v>59</v>
      </c>
      <c r="E134" s="117"/>
      <c r="F134" s="48"/>
      <c r="G134" s="49">
        <f>SUMIF($F$111:$F$131,D134,$G$111:$G$131)</f>
        <v>0</v>
      </c>
      <c r="H134" s="49">
        <f>SUMIF($F$101:$F$131,D134,$H$101:$H$131)</f>
        <v>0</v>
      </c>
      <c r="I134" s="49"/>
      <c r="J134" s="49">
        <f>SUMIF($F$101:$F$131,D134,$J$101:$J$131)</f>
        <v>0</v>
      </c>
      <c r="K134" s="49">
        <f>SUMIF($F$101:$F$131,D134,$K$101:$K$131)</f>
        <v>0</v>
      </c>
      <c r="L134" s="49">
        <f>SUMIF($F$101:$F$131,D134,$L$101:$L$131)</f>
        <v>0</v>
      </c>
      <c r="M134" s="49">
        <f>SUM(M111:M131)</f>
        <v>4955070.3231464773</v>
      </c>
      <c r="N134" s="235"/>
      <c r="O134" s="43"/>
      <c r="P134" s="43"/>
    </row>
    <row r="135" spans="1:16" s="44" customFormat="1" ht="30" customHeight="1" thickBot="1" x14ac:dyDescent="0.3">
      <c r="A135" s="123"/>
      <c r="B135" s="124"/>
      <c r="C135" s="124"/>
      <c r="D135" s="118" t="s">
        <v>80</v>
      </c>
      <c r="E135" s="119"/>
      <c r="F135" s="53"/>
      <c r="G135" s="54">
        <f>SUMIF($F$111:$F$131,D135,$G$111:$G$131)</f>
        <v>0</v>
      </c>
      <c r="H135" s="54">
        <f>SUMIF($F$101:$F$131,D135,$H$101:$H$131)</f>
        <v>0</v>
      </c>
      <c r="I135" s="54"/>
      <c r="J135" s="54">
        <f>SUMIF($F$101:$F$131,D135,$J$101:$J$131)</f>
        <v>0</v>
      </c>
      <c r="K135" s="54">
        <f>SUMIF($F$101:$F$131,D135,$K$101:$K$131)</f>
        <v>0</v>
      </c>
      <c r="L135" s="54">
        <f>SUMIF($F$101:$F$131,D135,$L$101:$L$131)</f>
        <v>0</v>
      </c>
      <c r="M135" s="54"/>
      <c r="N135" s="236"/>
      <c r="O135" s="43"/>
      <c r="P135" s="43"/>
    </row>
    <row r="136" spans="1:16" s="44" customFormat="1" ht="15.75" customHeight="1" x14ac:dyDescent="0.25">
      <c r="A136" s="37" t="s">
        <v>273</v>
      </c>
      <c r="B136" s="38"/>
      <c r="C136" s="125"/>
      <c r="D136" s="126" t="s">
        <v>37</v>
      </c>
      <c r="E136" s="127"/>
      <c r="F136" s="128"/>
      <c r="G136" s="115">
        <f>G47+G57+G68+G97+G107+G132</f>
        <v>324955301.96000004</v>
      </c>
      <c r="H136" s="115">
        <f>H47+H57+H68+H97+H107+H132</f>
        <v>124252629.31000002</v>
      </c>
      <c r="I136" s="115"/>
      <c r="J136" s="115">
        <f>J47+J57+J68+J97+J107+J132</f>
        <v>39469238.679991618</v>
      </c>
      <c r="K136" s="115">
        <f>K47+K57+K68+K97++K107+K132</f>
        <v>16014232.141303789</v>
      </c>
      <c r="L136" s="49">
        <f>L47+L57+L68+L97+L107+L132</f>
        <v>92507439.240008399</v>
      </c>
      <c r="M136" s="115">
        <f>M47+M57+M68+M97+M132</f>
        <v>0</v>
      </c>
      <c r="N136" s="246"/>
      <c r="O136" s="43"/>
      <c r="P136" s="43"/>
    </row>
    <row r="137" spans="1:16" s="44" customFormat="1" ht="17.25" customHeight="1" x14ac:dyDescent="0.25">
      <c r="A137" s="45"/>
      <c r="B137" s="46"/>
      <c r="C137" s="129"/>
      <c r="D137" s="117" t="s">
        <v>3</v>
      </c>
      <c r="E137" s="47"/>
      <c r="F137" s="128"/>
      <c r="G137" s="115">
        <f>G48+G58+G69+G98+G108+G133</f>
        <v>174882887740.10001</v>
      </c>
      <c r="H137" s="115">
        <f>H48+H58+H69+H98+H108+H133</f>
        <v>193332559828.31003</v>
      </c>
      <c r="I137" s="49"/>
      <c r="J137" s="115">
        <f>J48+J58+J69+J98+J108+J133</f>
        <v>83195433741.949539</v>
      </c>
      <c r="K137" s="115">
        <f>K48+K58+K69+K98++K108+K133</f>
        <v>39853543838.747139</v>
      </c>
      <c r="L137" s="49">
        <f>L48+L58+L69+L98+L108+L133</f>
        <v>110137292123.56044</v>
      </c>
      <c r="M137" s="115">
        <f>M48+M58+M69+M98+M133</f>
        <v>0</v>
      </c>
      <c r="N137" s="235"/>
      <c r="O137" s="43"/>
      <c r="P137" s="43"/>
    </row>
    <row r="138" spans="1:16" s="44" customFormat="1" ht="15" customHeight="1" x14ac:dyDescent="0.25">
      <c r="A138" s="45"/>
      <c r="B138" s="46"/>
      <c r="C138" s="129"/>
      <c r="D138" s="117" t="s">
        <v>59</v>
      </c>
      <c r="E138" s="47"/>
      <c r="F138" s="48"/>
      <c r="G138" s="115">
        <f>G50+G59+G70+G99+G109+G134</f>
        <v>481140620.10000002</v>
      </c>
      <c r="H138" s="115">
        <f>H50+H59+H70+H99+H109+H134</f>
        <v>355946814.93999994</v>
      </c>
      <c r="I138" s="49"/>
      <c r="J138" s="115">
        <f>J50+J59+J70+J99+J109+J134</f>
        <v>83079885.430954069</v>
      </c>
      <c r="K138" s="115">
        <f>K50+K59+K70+K99++K109+K134</f>
        <v>48860981.936367229</v>
      </c>
      <c r="L138" s="49">
        <f>L50+L59+L70+L99+L109+L134</f>
        <v>273317317.38904595</v>
      </c>
      <c r="M138" s="115">
        <f>M50+M59+M70+M99+M109+M134</f>
        <v>816942944.35359704</v>
      </c>
      <c r="N138" s="235"/>
      <c r="O138" s="43"/>
      <c r="P138" s="43"/>
    </row>
    <row r="139" spans="1:16" s="44" customFormat="1" ht="15" customHeight="1" x14ac:dyDescent="0.25">
      <c r="A139" s="123"/>
      <c r="B139" s="124"/>
      <c r="C139" s="130"/>
      <c r="D139" s="131" t="s">
        <v>70</v>
      </c>
      <c r="E139" s="117"/>
      <c r="F139" s="132"/>
      <c r="G139" s="115">
        <f>G51+G60+G71+G100+G110+G135</f>
        <v>31777311969</v>
      </c>
      <c r="H139" s="115">
        <f>H51+H60+H71+H100+H110+H135</f>
        <v>31859249643</v>
      </c>
      <c r="I139" s="133"/>
      <c r="J139" s="115">
        <f>J51+J60+J71+J100+J110+J135</f>
        <v>10035698425.228352</v>
      </c>
      <c r="K139" s="115">
        <f>K51+K60+K71+K100++K110+K135</f>
        <v>3239737312.940196</v>
      </c>
      <c r="L139" s="49">
        <f>L51+L60+L71+L100+L110+L135</f>
        <v>21823551217.771648</v>
      </c>
      <c r="M139" s="134"/>
      <c r="N139" s="247"/>
      <c r="O139" s="43"/>
      <c r="P139" s="43"/>
    </row>
    <row r="140" spans="1:16" s="44" customFormat="1" ht="25.5" customHeight="1" thickBot="1" x14ac:dyDescent="0.3">
      <c r="A140" s="123"/>
      <c r="B140" s="124"/>
      <c r="C140" s="130"/>
      <c r="D140" s="135" t="s">
        <v>80</v>
      </c>
      <c r="E140" s="136"/>
      <c r="F140" s="132"/>
      <c r="G140" s="115">
        <f>G52+G61+G72+G101+G111+G136</f>
        <v>80951808374.960007</v>
      </c>
      <c r="H140" s="115">
        <f>H51+H60+H71+H100+H110+H135</f>
        <v>31859249643</v>
      </c>
      <c r="I140" s="133"/>
      <c r="J140" s="115">
        <f>J52+J61+J72+J101+J111+J136</f>
        <v>67583540272.168335</v>
      </c>
      <c r="K140" s="115">
        <f>K52+K61+K72+K101++K111+K136</f>
        <v>27356672196.831306</v>
      </c>
      <c r="L140" s="49">
        <f>L51+L60+L71+L100+L110+L135</f>
        <v>21823551217.771648</v>
      </c>
      <c r="M140" s="134">
        <f>M51+M60+M71+M100+M135</f>
        <v>0</v>
      </c>
      <c r="N140" s="247"/>
      <c r="O140" s="43"/>
      <c r="P140" s="43"/>
    </row>
    <row r="141" spans="1:16" ht="51" customHeight="1" thickBot="1" x14ac:dyDescent="0.3">
      <c r="A141" s="220">
        <v>92</v>
      </c>
      <c r="B141" s="221" t="s">
        <v>274</v>
      </c>
      <c r="C141" s="222" t="s">
        <v>275</v>
      </c>
      <c r="D141" s="222" t="s">
        <v>123</v>
      </c>
      <c r="E141" s="222" t="s">
        <v>276</v>
      </c>
      <c r="F141" s="222" t="s">
        <v>3</v>
      </c>
      <c r="G141" s="223">
        <f>834800635300+144000000000</f>
        <v>978800635300</v>
      </c>
      <c r="H141" s="224">
        <f>834798635300+12095027500+14732486250+11774486250+13492000000+25492000000+15482000000+12375860000+12000000000</f>
        <v>952242495300</v>
      </c>
      <c r="I141" s="225">
        <v>1.0000000000000001E-5</v>
      </c>
      <c r="J141" s="222"/>
      <c r="K141" s="226"/>
      <c r="L141" s="227">
        <f>H141-J141</f>
        <v>952242495300</v>
      </c>
      <c r="M141" s="223">
        <f>IF(F141=$B$144,L141,IF(F141=$B$146,L141*$C$146/$C$144,IF(F141=$B$145,L141*$C$145/$C$144,IF(F141=$B$143,L141/$C$144))))</f>
        <v>2352552054.9941945</v>
      </c>
      <c r="N141" s="248" t="s">
        <v>85</v>
      </c>
    </row>
    <row r="142" spans="1:16" s="44" customFormat="1" ht="15" customHeight="1" x14ac:dyDescent="0.25">
      <c r="A142" s="137"/>
      <c r="B142" s="137"/>
      <c r="C142" s="137"/>
      <c r="D142" s="138"/>
      <c r="E142" s="138"/>
      <c r="F142" s="139"/>
      <c r="G142" s="140"/>
      <c r="H142" s="140"/>
      <c r="I142" s="140"/>
      <c r="J142" s="140"/>
      <c r="K142" s="140"/>
      <c r="L142" s="140"/>
      <c r="M142" s="140"/>
      <c r="N142" s="140"/>
      <c r="O142" s="43"/>
      <c r="P142" s="43"/>
    </row>
    <row r="143" spans="1:16" ht="17.25" x14ac:dyDescent="0.3">
      <c r="B143" s="141" t="s">
        <v>3</v>
      </c>
      <c r="C143" s="142"/>
      <c r="F143" s="143"/>
      <c r="G143" s="144"/>
      <c r="H143" s="144"/>
      <c r="J143" s="228"/>
      <c r="K143" s="228"/>
      <c r="L143" s="146"/>
      <c r="M143" s="147"/>
      <c r="N143" s="148"/>
      <c r="P143" s="24"/>
    </row>
    <row r="144" spans="1:16" ht="17.25" x14ac:dyDescent="0.3">
      <c r="B144" s="141" t="s">
        <v>59</v>
      </c>
      <c r="C144" s="142">
        <v>404.77</v>
      </c>
      <c r="G144" s="144"/>
      <c r="H144" s="156"/>
      <c r="I144" s="149"/>
      <c r="J144" s="228"/>
      <c r="K144" s="144"/>
      <c r="L144" s="150"/>
      <c r="M144" s="151"/>
      <c r="N144" s="152"/>
      <c r="P144" s="24"/>
    </row>
    <row r="145" spans="2:16" ht="17.25" x14ac:dyDescent="0.3">
      <c r="B145" s="141" t="s">
        <v>80</v>
      </c>
      <c r="C145" s="153">
        <v>2.9279999999999999</v>
      </c>
      <c r="H145" s="156"/>
      <c r="J145" s="228"/>
      <c r="K145" s="144"/>
      <c r="L145" s="154"/>
      <c r="M145" s="151"/>
      <c r="N145" s="155"/>
      <c r="P145" s="24"/>
    </row>
    <row r="146" spans="2:16" ht="17.25" x14ac:dyDescent="0.3">
      <c r="B146" s="141" t="s">
        <v>37</v>
      </c>
      <c r="C146" s="142">
        <v>406.11</v>
      </c>
      <c r="H146" s="156"/>
      <c r="K146" s="144"/>
      <c r="L146" s="147"/>
      <c r="M146" s="151"/>
      <c r="N146" s="155"/>
      <c r="P146" s="24"/>
    </row>
    <row r="147" spans="2:16" ht="17.25" x14ac:dyDescent="0.3">
      <c r="B147" s="141" t="s">
        <v>70</v>
      </c>
      <c r="C147" s="142">
        <v>526.99</v>
      </c>
      <c r="K147" s="148"/>
      <c r="L147" s="144"/>
      <c r="M147" s="157"/>
      <c r="N147" s="23"/>
      <c r="P147" s="24"/>
    </row>
    <row r="148" spans="2:16" x14ac:dyDescent="0.25">
      <c r="C148" s="158"/>
      <c r="N148" s="23"/>
      <c r="P148" s="24"/>
    </row>
    <row r="149" spans="2:16" x14ac:dyDescent="0.25">
      <c r="L149" s="159"/>
    </row>
    <row r="150" spans="2:16" x14ac:dyDescent="0.25">
      <c r="H150" s="154"/>
      <c r="L150" s="154"/>
    </row>
    <row r="157" spans="2:16" s="156" customFormat="1" x14ac:dyDescent="0.25">
      <c r="B157" s="27"/>
      <c r="C157" s="24"/>
      <c r="D157" s="24"/>
      <c r="E157" s="24"/>
      <c r="F157" s="24"/>
      <c r="G157" s="24"/>
      <c r="H157" s="24"/>
      <c r="I157" s="145"/>
      <c r="J157" s="24"/>
      <c r="K157" s="24"/>
      <c r="L157" s="144"/>
      <c r="N157" s="24"/>
      <c r="O157" s="23"/>
      <c r="P157" s="23"/>
    </row>
  </sheetData>
  <mergeCells count="137">
    <mergeCell ref="A136:C140"/>
    <mergeCell ref="D136:E136"/>
    <mergeCell ref="D137:E137"/>
    <mergeCell ref="D138:E138"/>
    <mergeCell ref="D139:E139"/>
    <mergeCell ref="D140:E140"/>
    <mergeCell ref="A132:C135"/>
    <mergeCell ref="D132:E132"/>
    <mergeCell ref="D133:E133"/>
    <mergeCell ref="D134:E134"/>
    <mergeCell ref="D135:E135"/>
    <mergeCell ref="B104:B106"/>
    <mergeCell ref="C104:C106"/>
    <mergeCell ref="A107:C110"/>
    <mergeCell ref="D107:E107"/>
    <mergeCell ref="D108:E108"/>
    <mergeCell ref="D109:E109"/>
    <mergeCell ref="D110:E110"/>
    <mergeCell ref="N92:N93"/>
    <mergeCell ref="A97:C100"/>
    <mergeCell ref="D97:E97"/>
    <mergeCell ref="D98:E98"/>
    <mergeCell ref="D99:E99"/>
    <mergeCell ref="D100:E100"/>
    <mergeCell ref="A92:A93"/>
    <mergeCell ref="B92:B93"/>
    <mergeCell ref="C92:C93"/>
    <mergeCell ref="D92:D93"/>
    <mergeCell ref="E92:E93"/>
    <mergeCell ref="N80:N82"/>
    <mergeCell ref="A86:A87"/>
    <mergeCell ref="B86:B87"/>
    <mergeCell ref="C86:C87"/>
    <mergeCell ref="D86:D87"/>
    <mergeCell ref="N86:N87"/>
    <mergeCell ref="A68:C71"/>
    <mergeCell ref="D68:E68"/>
    <mergeCell ref="D69:E69"/>
    <mergeCell ref="D70:E70"/>
    <mergeCell ref="D71:E71"/>
    <mergeCell ref="A75:A76"/>
    <mergeCell ref="B75:B76"/>
    <mergeCell ref="C75:C76"/>
    <mergeCell ref="E75:E76"/>
    <mergeCell ref="A55:A56"/>
    <mergeCell ref="B55:B56"/>
    <mergeCell ref="C55:C56"/>
    <mergeCell ref="N55:N56"/>
    <mergeCell ref="A57:C60"/>
    <mergeCell ref="D57:E57"/>
    <mergeCell ref="D58:E58"/>
    <mergeCell ref="D59:E59"/>
    <mergeCell ref="D60:E60"/>
    <mergeCell ref="N43:N44"/>
    <mergeCell ref="A47:C51"/>
    <mergeCell ref="D47:E47"/>
    <mergeCell ref="D48:E48"/>
    <mergeCell ref="D49:E49"/>
    <mergeCell ref="D50:E50"/>
    <mergeCell ref="D51:E51"/>
    <mergeCell ref="A43:A44"/>
    <mergeCell ref="B43:B44"/>
    <mergeCell ref="C43:C44"/>
    <mergeCell ref="E43:E44"/>
    <mergeCell ref="I43:I44"/>
    <mergeCell ref="A34:A36"/>
    <mergeCell ref="B34:B36"/>
    <mergeCell ref="C34:C36"/>
    <mergeCell ref="D34:D36"/>
    <mergeCell ref="E31:E32"/>
    <mergeCell ref="A31:A32"/>
    <mergeCell ref="B31:B32"/>
    <mergeCell ref="C31:C32"/>
    <mergeCell ref="D31:D32"/>
    <mergeCell ref="C29:C30"/>
    <mergeCell ref="D29:D30"/>
    <mergeCell ref="C27:C28"/>
    <mergeCell ref="D27:D28"/>
    <mergeCell ref="I23:I24"/>
    <mergeCell ref="N23:N24"/>
    <mergeCell ref="A25:A26"/>
    <mergeCell ref="B25:B26"/>
    <mergeCell ref="E25:E26"/>
    <mergeCell ref="I25:I26"/>
    <mergeCell ref="N25:N26"/>
    <mergeCell ref="E23:E24"/>
    <mergeCell ref="A23:A24"/>
    <mergeCell ref="B23:B24"/>
    <mergeCell ref="C23:C26"/>
    <mergeCell ref="D23:D26"/>
    <mergeCell ref="A21:A22"/>
    <mergeCell ref="B21:B22"/>
    <mergeCell ref="E21:E22"/>
    <mergeCell ref="N21:N22"/>
    <mergeCell ref="E19:E20"/>
    <mergeCell ref="I19:I22"/>
    <mergeCell ref="N19:N20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E15:E16"/>
    <mergeCell ref="I15:I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I13:I14"/>
    <mergeCell ref="N9:N10"/>
    <mergeCell ref="A11:A12"/>
    <mergeCell ref="B11:B12"/>
    <mergeCell ref="C11:C12"/>
    <mergeCell ref="E11:E12"/>
    <mergeCell ref="I11:I12"/>
    <mergeCell ref="N11:N12"/>
    <mergeCell ref="A9:A10"/>
    <mergeCell ref="B9:B10"/>
    <mergeCell ref="C9:C10"/>
    <mergeCell ref="E9:E10"/>
    <mergeCell ref="I9:I10"/>
    <mergeCell ref="A1:N1"/>
    <mergeCell ref="A2:N2"/>
    <mergeCell ref="A5:A6"/>
    <mergeCell ref="B5:B6"/>
    <mergeCell ref="D5:D6"/>
  </mergeCells>
  <conditionalFormatting sqref="H5">
    <cfRule type="cellIs" dxfId="4" priority="5" operator="notEqual">
      <formula>#REF!</formula>
    </cfRule>
  </conditionalFormatting>
  <conditionalFormatting sqref="H94 H6:H33 H35:H41 H43:H45">
    <cfRule type="cellIs" dxfId="3" priority="4" operator="notEqual">
      <formula>#REF!</formula>
    </cfRule>
  </conditionalFormatting>
  <conditionalFormatting sqref="G21">
    <cfRule type="cellIs" dxfId="2" priority="3" operator="notEqual">
      <formula>#REF!</formula>
    </cfRule>
  </conditionalFormatting>
  <conditionalFormatting sqref="H78">
    <cfRule type="cellIs" dxfId="1" priority="2" operator="notEqual">
      <formula>#REF!</formula>
    </cfRule>
  </conditionalFormatting>
  <conditionalFormatting sqref="H46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8" sqref="C28"/>
    </sheetView>
  </sheetViews>
  <sheetFormatPr defaultColWidth="25.85546875" defaultRowHeight="15.75" x14ac:dyDescent="0.25"/>
  <cols>
    <col min="1" max="1" width="33.42578125" style="12" customWidth="1"/>
    <col min="2" max="2" width="25.85546875" style="12" customWidth="1"/>
    <col min="3" max="3" width="35.85546875" style="12" customWidth="1"/>
    <col min="4" max="4" width="32.42578125" style="12" customWidth="1"/>
    <col min="5" max="5" width="28.85546875" style="12" customWidth="1"/>
    <col min="6" max="6" width="33.5703125" style="12" customWidth="1"/>
    <col min="7" max="7" width="44.7109375" style="12" customWidth="1"/>
    <col min="8" max="16384" width="25.85546875" style="12"/>
  </cols>
  <sheetData>
    <row r="1" spans="1:5" ht="18.75" x14ac:dyDescent="0.25">
      <c r="A1" s="21" t="s">
        <v>283</v>
      </c>
      <c r="B1" s="21"/>
      <c r="C1" s="21"/>
      <c r="D1" s="21"/>
      <c r="E1" s="21"/>
    </row>
    <row r="2" spans="1:5" ht="61.5" customHeight="1" x14ac:dyDescent="0.25">
      <c r="A2" s="21" t="s">
        <v>332</v>
      </c>
      <c r="B2" s="21"/>
      <c r="C2" s="21"/>
      <c r="D2" s="21"/>
      <c r="E2" s="21"/>
    </row>
    <row r="5" spans="1:5" ht="56.25" x14ac:dyDescent="0.25">
      <c r="A5" s="13" t="s">
        <v>284</v>
      </c>
      <c r="B5" s="13" t="s">
        <v>285</v>
      </c>
      <c r="C5" s="13" t="s">
        <v>286</v>
      </c>
      <c r="D5" s="13" t="s">
        <v>287</v>
      </c>
      <c r="E5" s="13" t="s">
        <v>315</v>
      </c>
    </row>
    <row r="6" spans="1:5" ht="37.5" x14ac:dyDescent="0.25">
      <c r="A6" s="13" t="s">
        <v>288</v>
      </c>
      <c r="B6" s="13" t="s">
        <v>289</v>
      </c>
      <c r="C6" s="13" t="s">
        <v>290</v>
      </c>
      <c r="D6" s="14">
        <v>1150000000</v>
      </c>
      <c r="E6" s="14">
        <f>D6-958333333.5</f>
        <v>191666666.5</v>
      </c>
    </row>
    <row r="7" spans="1:5" ht="37.5" x14ac:dyDescent="0.25">
      <c r="A7" s="13" t="s">
        <v>291</v>
      </c>
      <c r="B7" s="13" t="s">
        <v>292</v>
      </c>
      <c r="C7" s="13" t="s">
        <v>293</v>
      </c>
      <c r="D7" s="14">
        <v>2000000000</v>
      </c>
      <c r="E7" s="14">
        <f t="shared" ref="E7:E15" si="0">D7</f>
        <v>2000000000</v>
      </c>
    </row>
    <row r="8" spans="1:5" ht="37.5" x14ac:dyDescent="0.25">
      <c r="A8" s="13" t="s">
        <v>294</v>
      </c>
      <c r="B8" s="13" t="s">
        <v>289</v>
      </c>
      <c r="C8" s="13" t="s">
        <v>295</v>
      </c>
      <c r="D8" s="14">
        <v>100000000</v>
      </c>
      <c r="E8" s="14">
        <f>D8-63682909.4</f>
        <v>36317090.600000001</v>
      </c>
    </row>
    <row r="9" spans="1:5" ht="37.5" x14ac:dyDescent="0.25">
      <c r="A9" s="13" t="s">
        <v>296</v>
      </c>
      <c r="B9" s="13" t="s">
        <v>289</v>
      </c>
      <c r="C9" s="13" t="s">
        <v>298</v>
      </c>
      <c r="D9" s="14">
        <v>825000000</v>
      </c>
      <c r="E9" s="14">
        <f t="shared" si="0"/>
        <v>825000000</v>
      </c>
    </row>
    <row r="10" spans="1:5" ht="37.5" x14ac:dyDescent="0.25">
      <c r="A10" s="13" t="s">
        <v>299</v>
      </c>
      <c r="B10" s="13" t="s">
        <v>289</v>
      </c>
      <c r="C10" s="13" t="s">
        <v>300</v>
      </c>
      <c r="D10" s="14">
        <v>265000000</v>
      </c>
      <c r="E10" s="14">
        <f t="shared" si="0"/>
        <v>265000000</v>
      </c>
    </row>
    <row r="11" spans="1:5" ht="93.75" x14ac:dyDescent="0.25">
      <c r="A11" s="13" t="s">
        <v>306</v>
      </c>
      <c r="B11" s="13" t="s">
        <v>310</v>
      </c>
      <c r="C11" s="13" t="s">
        <v>311</v>
      </c>
      <c r="D11" s="15">
        <v>103500000</v>
      </c>
      <c r="E11" s="14">
        <f t="shared" si="0"/>
        <v>103500000</v>
      </c>
    </row>
    <row r="12" spans="1:5" ht="93.75" x14ac:dyDescent="0.25">
      <c r="A12" s="13" t="s">
        <v>307</v>
      </c>
      <c r="B12" s="13" t="s">
        <v>310</v>
      </c>
      <c r="C12" s="13" t="s">
        <v>312</v>
      </c>
      <c r="D12" s="15">
        <v>100000000</v>
      </c>
      <c r="E12" s="14">
        <f t="shared" si="0"/>
        <v>100000000</v>
      </c>
    </row>
    <row r="13" spans="1:5" ht="93.75" x14ac:dyDescent="0.25">
      <c r="A13" s="19" t="s">
        <v>308</v>
      </c>
      <c r="B13" s="13" t="s">
        <v>310</v>
      </c>
      <c r="C13" s="13" t="s">
        <v>313</v>
      </c>
      <c r="D13" s="15">
        <v>253500000</v>
      </c>
      <c r="E13" s="14">
        <f t="shared" si="0"/>
        <v>253500000</v>
      </c>
    </row>
    <row r="14" spans="1:5" ht="37.5" x14ac:dyDescent="0.25">
      <c r="A14" s="20"/>
      <c r="B14" s="13" t="s">
        <v>289</v>
      </c>
      <c r="C14" s="13" t="s">
        <v>313</v>
      </c>
      <c r="D14" s="15">
        <v>430182000</v>
      </c>
      <c r="E14" s="14">
        <f t="shared" si="0"/>
        <v>430182000</v>
      </c>
    </row>
    <row r="15" spans="1:5" ht="37.5" x14ac:dyDescent="0.25">
      <c r="A15" s="13" t="s">
        <v>309</v>
      </c>
      <c r="B15" s="13" t="s">
        <v>289</v>
      </c>
      <c r="C15" s="13" t="s">
        <v>314</v>
      </c>
      <c r="D15" s="15">
        <v>127200000</v>
      </c>
      <c r="E15" s="14">
        <f t="shared" si="0"/>
        <v>127200000</v>
      </c>
    </row>
    <row r="16" spans="1:5" ht="18.75" x14ac:dyDescent="0.25">
      <c r="A16" s="249" t="s">
        <v>297</v>
      </c>
      <c r="B16" s="249"/>
      <c r="C16" s="249"/>
      <c r="D16" s="250">
        <f>SUM(D6:D15)</f>
        <v>5354382000</v>
      </c>
      <c r="E16" s="250">
        <f>SUM(E6:E15)</f>
        <v>4332365757.1000004</v>
      </c>
    </row>
    <row r="19" spans="1:9" x14ac:dyDescent="0.25">
      <c r="A19" s="160"/>
      <c r="B19" s="160"/>
      <c r="C19" s="160"/>
      <c r="D19" s="160"/>
      <c r="E19" s="160"/>
      <c r="F19" s="160"/>
      <c r="G19" s="160"/>
      <c r="H19" s="161"/>
      <c r="I19" s="161"/>
    </row>
    <row r="20" spans="1:9" x14ac:dyDescent="0.25">
      <c r="A20" s="160"/>
      <c r="B20" s="160"/>
      <c r="C20" s="160"/>
      <c r="D20" s="160"/>
      <c r="E20" s="160"/>
      <c r="F20" s="160"/>
      <c r="G20" s="160"/>
      <c r="H20" s="161"/>
      <c r="I20" s="161"/>
    </row>
    <row r="21" spans="1:9" x14ac:dyDescent="0.25">
      <c r="A21" s="160"/>
      <c r="B21" s="160"/>
      <c r="C21" s="160"/>
      <c r="D21" s="160"/>
      <c r="E21" s="160"/>
      <c r="F21" s="160"/>
      <c r="G21" s="160"/>
      <c r="H21" s="161"/>
      <c r="I21" s="161"/>
    </row>
    <row r="22" spans="1:9" x14ac:dyDescent="0.25">
      <c r="A22" s="160"/>
      <c r="B22" s="160"/>
      <c r="C22" s="160"/>
      <c r="D22" s="160"/>
      <c r="E22" s="160"/>
      <c r="F22" s="160"/>
      <c r="G22" s="160"/>
      <c r="H22" s="161"/>
      <c r="I22" s="161"/>
    </row>
    <row r="23" spans="1:9" x14ac:dyDescent="0.25">
      <c r="A23" s="160"/>
      <c r="B23" s="160"/>
      <c r="C23" s="160"/>
      <c r="D23" s="160"/>
      <c r="E23" s="160"/>
      <c r="F23" s="160"/>
      <c r="G23" s="160"/>
      <c r="H23" s="161"/>
      <c r="I23" s="161"/>
    </row>
    <row r="24" spans="1:9" x14ac:dyDescent="0.25">
      <c r="A24" s="160"/>
      <c r="B24" s="160"/>
      <c r="C24" s="160"/>
      <c r="D24" s="160"/>
      <c r="E24" s="160"/>
      <c r="F24" s="160"/>
      <c r="G24" s="160"/>
      <c r="H24" s="161"/>
      <c r="I24" s="161"/>
    </row>
    <row r="25" spans="1:9" x14ac:dyDescent="0.25">
      <c r="A25" s="160"/>
      <c r="B25" s="160"/>
      <c r="C25" s="160"/>
      <c r="D25" s="160"/>
      <c r="E25" s="160"/>
      <c r="F25" s="160"/>
      <c r="G25" s="160"/>
      <c r="H25" s="161"/>
      <c r="I25" s="161"/>
    </row>
  </sheetData>
  <mergeCells count="3">
    <mergeCell ref="A13:A14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2022-09-07T12:03:04Z</dcterms:modified>
  <cp:keywords>https://mul2-minfin.gov.am/tasks/522256/oneclick/Hraparakman-Partav. 08.22.xlsx?token=d8c3ce36252345b223accceb6ce14324</cp:keywords>
</cp:coreProperties>
</file>